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US" sheetId="1" r:id="rId1"/>
    <sheet name="Stari predmeti" sheetId="2" r:id="rId2"/>
    <sheet name="RESNER" sheetId="3" r:id="rId3"/>
  </sheets>
  <definedNames>
    <definedName name="_xlnm.Print_Area" localSheetId="2">'RESNER'!$A$1:$I$43</definedName>
    <definedName name="_xlnm.Print_Area" localSheetId="1">'Stari predmeti'!$A$1:$J$29</definedName>
  </definedNames>
  <calcPr fullCalcOnLoad="1"/>
</workbook>
</file>

<file path=xl/sharedStrings.xml><?xml version="1.0" encoding="utf-8"?>
<sst xmlns="http://schemas.openxmlformats.org/spreadsheetml/2006/main" count="170" uniqueCount="93">
  <si>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</si>
  <si>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</si>
  <si>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</si>
  <si>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</si>
  <si>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</si>
  <si>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</si>
  <si>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</si>
  <si>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</si>
  <si>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</si>
  <si>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</si>
  <si>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</si>
  <si>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</si>
  <si>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</si>
  <si>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</si>
  <si>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</si>
  <si>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</si>
  <si>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</si>
  <si>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</si>
  <si>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</si>
  <si>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</si>
  <si>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</si>
  <si>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</si>
  <si>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</si>
  <si>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</si>
  <si>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</si>
  <si>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</si>
  <si>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</si>
  <si>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</si>
  <si>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</si>
  <si>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</si>
  <si>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</si>
  <si>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</si>
  <si>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Управни суд у Београду</t>
  </si>
  <si>
    <t>У</t>
  </si>
  <si>
    <t>УВП I</t>
  </si>
  <si>
    <t>УВП II</t>
  </si>
  <si>
    <t>УЖ</t>
  </si>
  <si>
    <t>УР</t>
  </si>
  <si>
    <t>УИ</t>
  </si>
  <si>
    <t>УО</t>
  </si>
  <si>
    <t>УВ</t>
  </si>
  <si>
    <t>УП</t>
  </si>
  <si>
    <t>Прос. пред. по судији                                   од укупно у раду</t>
  </si>
  <si>
    <t>Старих према датуму пријема у суд</t>
  </si>
  <si>
    <t>Стари предмети према датуму пријема у суд</t>
  </si>
  <si>
    <t>Стари предмети према датуму иницијалног акта</t>
  </si>
  <si>
    <t>Решено старих предмета иниц. акт %</t>
  </si>
  <si>
    <t>Број судија</t>
  </si>
  <si>
    <t>ДУЖИНА ТРАЈАЊА СТАРИХ ПРЕДМЕТА</t>
  </si>
  <si>
    <t>% СТАРИХ ПРЕДМЕТА У ОДНОСУ НА УКУПНО У РАДУ</t>
  </si>
  <si>
    <t>ПРОСЕЧНО СТАРИХ ПРЕДМЕТА ПО СУДИЈИ</t>
  </si>
  <si>
    <t>ОД 3 ДО 5</t>
  </si>
  <si>
    <t>ОД 5 ДО 10</t>
  </si>
  <si>
    <t>ПРЕКО 10</t>
  </si>
  <si>
    <t>РАЗЛИКА ПОДАТАКА ИЗ  ОВЕ И ТАБЕЛЕ Т1</t>
  </si>
  <si>
    <t>ИЗ  ТАБЕЛЕ Т1</t>
  </si>
  <si>
    <t>ИЗ  ОВЕ ТАБЕЛЕ</t>
  </si>
  <si>
    <t>УИП</t>
  </si>
  <si>
    <t>У-уз</t>
  </si>
  <si>
    <t>Р4 у</t>
  </si>
  <si>
    <t>УКУПНО ОД 1-12</t>
  </si>
  <si>
    <t>ПРЕДСЕДНИК СУДА</t>
  </si>
  <si>
    <t>_______________________________</t>
  </si>
  <si>
    <t>Име и презиме:</t>
  </si>
  <si>
    <t>НАЗИВ СУДА</t>
  </si>
  <si>
    <t>УПРАВНИ СУД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</si>
  <si>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</si>
  <si>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</si>
  <si>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</si>
  <si>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</si>
  <si>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</si>
  <si>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</si>
  <si>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</si>
  <si>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</si>
  <si>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 xml:space="preserve">Име и презиме: </t>
  </si>
  <si>
    <t>____________________________________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</si>
  <si>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</si>
  <si>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</si>
  <si>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</si>
  <si>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Од 2 до 3 године</t>
  </si>
  <si>
    <t>Од 3 до 5 година</t>
  </si>
  <si>
    <t>ИЗВЕШТАЈ О РАДУ СУДА ЗА ПЕРИОД ОД 01.01.2023. ДО 30.06.2023. ГОДИНЕ</t>
  </si>
  <si>
    <t>ИЗВЕШТАЈ О НЕРЕШЕНИМ СТАРИМ ПРЕДМЕТИМА НА ДАН 30.06.2023. ГОДИНЕ  - ПРЕМА ДАТУМУ ИНИЦИЈАЛНОГ АКТА</t>
  </si>
  <si>
    <t>УКУПНО У РАДУ (укупно нерешено на почетку + укупно примљено) 01.01-30.06.2023.</t>
  </si>
  <si>
    <t>УКУПНО НЕРЕШЕНИХ СТАРИХ ПРЕДМЕТА на дан 30.06.2023.</t>
  </si>
  <si>
    <t>ИЗВЕШТАЈ О БРОЈУ НЕРЕШЕНИХ ПРЕДМЕТА ЗА ПЕРИОД ОД 01.01.2023. ДО 30.06.2023. - ПРЕМА ДАТУМУ ПРИЈЕМА</t>
  </si>
  <si>
    <t>ИЗВЕШТАЈ О БРОЈУ РЕШЕНИХ ПРЕДМЕТА ЗА ПЕРИОД ОД 01.01.2023. ДО 30.06.2023. - ПРЕМА ДАТУМУ ПРИЈЕМА</t>
  </si>
  <si>
    <t>У ћу</t>
  </si>
  <si>
    <t>УКУПНО ОД 1-7</t>
  </si>
  <si>
    <t>УКУПНО ОД 8-12</t>
  </si>
  <si>
    <t>УКУПНО ОД 1-13</t>
  </si>
  <si>
    <t>Укупно од 1-13</t>
  </si>
  <si>
    <t>судија Радојка Маринковић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</si>
</sst>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64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1" fontId="5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1" fontId="9" fillId="0" borderId="0" xfId="0" applyNumberFormat="1" applyFont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1" fontId="54" fillId="0" borderId="0" xfId="0" applyNumberFormat="1" applyFont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1" fontId="54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5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10" fillId="34" borderId="11" xfId="0" applyNumberFormat="1" applyFont="1" applyFill="1" applyBorder="1" applyAlignment="1" applyProtection="1">
      <alignment horizontal="right" vertical="center" wrapText="1"/>
      <protection/>
    </xf>
    <xf numFmtId="1" fontId="10" fillId="35" borderId="11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58" applyFont="1" applyBorder="1" applyAlignment="1" applyProtection="1">
      <alignment vertical="center"/>
      <protection/>
    </xf>
    <xf numFmtId="0" fontId="59" fillId="0" borderId="0" xfId="58" applyFont="1" applyBorder="1" applyAlignment="1" applyProtection="1">
      <alignment vertical="center"/>
      <protection/>
    </xf>
    <xf numFmtId="0" fontId="60" fillId="0" borderId="0" xfId="58" applyFont="1" applyBorder="1" applyAlignment="1" applyProtection="1">
      <alignment vertical="center"/>
      <protection/>
    </xf>
    <xf numFmtId="0" fontId="60" fillId="0" borderId="0" xfId="58" applyFont="1" applyBorder="1" applyAlignment="1" applyProtection="1">
      <alignment/>
      <protection/>
    </xf>
    <xf numFmtId="0" fontId="37" fillId="0" borderId="0" xfId="58" applyProtection="1">
      <alignment/>
      <protection/>
    </xf>
    <xf numFmtId="0" fontId="59" fillId="36" borderId="11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Border="1" applyAlignment="1" applyProtection="1">
      <alignment horizontal="center" vertical="center"/>
      <protection/>
    </xf>
    <xf numFmtId="0" fontId="59" fillId="0" borderId="11" xfId="58" applyFont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12" fillId="0" borderId="0" xfId="58" applyFont="1" applyFill="1" applyBorder="1" applyAlignment="1" applyProtection="1">
      <alignment vertical="center"/>
      <protection/>
    </xf>
    <xf numFmtId="0" fontId="6" fillId="0" borderId="0" xfId="58" applyFont="1" applyFill="1" applyAlignment="1" applyProtection="1">
      <alignment vertical="center"/>
      <protection/>
    </xf>
    <xf numFmtId="3" fontId="57" fillId="0" borderId="11" xfId="58" applyNumberFormat="1" applyFont="1" applyBorder="1" applyAlignment="1" applyProtection="1">
      <alignment horizontal="right" vertical="center"/>
      <protection locked="0"/>
    </xf>
    <xf numFmtId="3" fontId="61" fillId="36" borderId="11" xfId="58" applyNumberFormat="1" applyFont="1" applyFill="1" applyBorder="1" applyAlignment="1" applyProtection="1">
      <alignment horizontal="right" vertical="center"/>
      <protection/>
    </xf>
    <xf numFmtId="3" fontId="57" fillId="36" borderId="11" xfId="58" applyNumberFormat="1" applyFont="1" applyFill="1" applyBorder="1" applyAlignment="1" applyProtection="1">
      <alignment horizontal="right" vertical="center"/>
      <protection/>
    </xf>
    <xf numFmtId="3" fontId="54" fillId="34" borderId="11" xfId="0" applyNumberFormat="1" applyFont="1" applyFill="1" applyBorder="1" applyAlignment="1" applyProtection="1">
      <alignment horizontal="right" wrapText="1"/>
      <protection/>
    </xf>
    <xf numFmtId="3" fontId="54" fillId="35" borderId="11" xfId="0" applyNumberFormat="1" applyFont="1" applyFill="1" applyBorder="1" applyAlignment="1" applyProtection="1">
      <alignment horizontal="right" wrapText="1"/>
      <protection/>
    </xf>
    <xf numFmtId="3" fontId="54" fillId="0" borderId="11" xfId="0" applyNumberFormat="1" applyFont="1" applyBorder="1" applyAlignment="1" applyProtection="1">
      <alignment horizontal="right" wrapText="1"/>
      <protection/>
    </xf>
    <xf numFmtId="3" fontId="55" fillId="34" borderId="11" xfId="0" applyNumberFormat="1" applyFont="1" applyFill="1" applyBorder="1" applyAlignment="1" applyProtection="1">
      <alignment horizontal="right" wrapText="1"/>
      <protection/>
    </xf>
    <xf numFmtId="3" fontId="55" fillId="35" borderId="11" xfId="0" applyNumberFormat="1" applyFont="1" applyFill="1" applyBorder="1" applyAlignment="1" applyProtection="1">
      <alignment horizontal="right" wrapText="1"/>
      <protection/>
    </xf>
    <xf numFmtId="3" fontId="55" fillId="0" borderId="11" xfId="0" applyNumberFormat="1" applyFont="1" applyBorder="1" applyAlignment="1" applyProtection="1">
      <alignment horizontal="right" wrapText="1"/>
      <protection/>
    </xf>
    <xf numFmtId="1" fontId="11" fillId="34" borderId="11" xfId="0" applyNumberFormat="1" applyFont="1" applyFill="1" applyBorder="1" applyAlignment="1" applyProtection="1">
      <alignment horizontal="right" vertical="center" wrapText="1"/>
      <protection/>
    </xf>
    <xf numFmtId="1" fontId="11" fillId="35" borderId="11" xfId="0" applyNumberFormat="1" applyFont="1" applyFill="1" applyBorder="1" applyAlignment="1" applyProtection="1">
      <alignment horizontal="right" vertical="center" wrapText="1"/>
      <protection/>
    </xf>
    <xf numFmtId="3" fontId="61" fillId="0" borderId="11" xfId="0" applyNumberFormat="1" applyFont="1" applyFill="1" applyBorder="1" applyAlignment="1" applyProtection="1">
      <alignment horizontal="right" vertical="center"/>
      <protection/>
    </xf>
    <xf numFmtId="0" fontId="59" fillId="36" borderId="11" xfId="58" applyFont="1" applyFill="1" applyBorder="1" applyAlignment="1" applyProtection="1">
      <alignment horizontal="center" vertical="center" wrapText="1"/>
      <protection/>
    </xf>
    <xf numFmtId="3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4" fillId="36" borderId="11" xfId="0" applyNumberFormat="1" applyFont="1" applyFill="1" applyBorder="1" applyAlignment="1" applyProtection="1">
      <alignment horizontal="right" vertical="center" wrapText="1"/>
      <protection/>
    </xf>
    <xf numFmtId="3" fontId="14" fillId="36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3" fillId="36" borderId="11" xfId="0" applyNumberFormat="1" applyFont="1" applyFill="1" applyBorder="1" applyAlignment="1" applyProtection="1">
      <alignment horizontal="right" vertical="center" wrapText="1"/>
      <protection/>
    </xf>
    <xf numFmtId="3" fontId="13" fillId="36" borderId="11" xfId="0" applyNumberFormat="1" applyFont="1" applyFill="1" applyBorder="1" applyAlignment="1" applyProtection="1">
      <alignment horizontal="right" vertical="center" wrapText="1"/>
      <protection/>
    </xf>
    <xf numFmtId="4" fontId="13" fillId="36" borderId="11" xfId="0" applyNumberFormat="1" applyFont="1" applyFill="1" applyBorder="1" applyAlignment="1" applyProtection="1">
      <alignment horizontal="right" vertical="center"/>
      <protection/>
    </xf>
    <xf numFmtId="3" fontId="2" fillId="37" borderId="11" xfId="0" applyNumberFormat="1" applyFont="1" applyFill="1" applyBorder="1" applyAlignment="1" applyProtection="1">
      <alignment horizontal="right" vertical="center"/>
      <protection locked="0"/>
    </xf>
    <xf numFmtId="3" fontId="2" fillId="11" borderId="11" xfId="0" applyNumberFormat="1" applyFont="1" applyFill="1" applyBorder="1" applyAlignment="1" applyProtection="1">
      <alignment horizontal="right" vertical="center"/>
      <protection/>
    </xf>
    <xf numFmtId="3" fontId="2" fillId="11" borderId="11" xfId="0" applyNumberFormat="1" applyFont="1" applyFill="1" applyBorder="1" applyAlignment="1" applyProtection="1">
      <alignment horizontal="right" vertical="center" wrapText="1"/>
      <protection/>
    </xf>
    <xf numFmtId="4" fontId="2" fillId="11" borderId="11" xfId="0" applyNumberFormat="1" applyFont="1" applyFill="1" applyBorder="1" applyAlignment="1" applyProtection="1">
      <alignment horizontal="right" vertical="center" wrapText="1"/>
      <protection/>
    </xf>
    <xf numFmtId="4" fontId="2" fillId="11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38" borderId="11" xfId="0" applyNumberFormat="1" applyFont="1" applyFill="1" applyBorder="1" applyAlignment="1" applyProtection="1">
      <alignment horizontal="right" vertical="center" wrapText="1"/>
      <protection/>
    </xf>
    <xf numFmtId="3" fontId="2" fillId="39" borderId="11" xfId="0" applyNumberFormat="1" applyFont="1" applyFill="1" applyBorder="1" applyAlignment="1" applyProtection="1">
      <alignment horizontal="right" vertical="center"/>
      <protection/>
    </xf>
    <xf numFmtId="3" fontId="2" fillId="39" borderId="11" xfId="0" applyNumberFormat="1" applyFont="1" applyFill="1" applyBorder="1" applyAlignment="1" applyProtection="1">
      <alignment horizontal="right" vertical="center" wrapText="1"/>
      <protection/>
    </xf>
    <xf numFmtId="4" fontId="2" fillId="39" borderId="11" xfId="0" applyNumberFormat="1" applyFont="1" applyFill="1" applyBorder="1" applyAlignment="1" applyProtection="1">
      <alignment horizontal="right" vertical="center" wrapText="1"/>
      <protection/>
    </xf>
    <xf numFmtId="4" fontId="2" fillId="39" borderId="11" xfId="0" applyNumberFormat="1" applyFont="1" applyFill="1" applyBorder="1" applyAlignment="1" applyProtection="1">
      <alignment horizontal="right" vertical="center"/>
      <protection/>
    </xf>
    <xf numFmtId="0" fontId="15" fillId="36" borderId="11" xfId="0" applyNumberFormat="1" applyFont="1" applyFill="1" applyBorder="1" applyAlignment="1" applyProtection="1">
      <alignment horizontal="center" wrapText="1"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vertical="center"/>
      <protection/>
    </xf>
    <xf numFmtId="0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15" fillId="36" borderId="11" xfId="0" applyNumberFormat="1" applyFont="1" applyFill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vertical="center"/>
      <protection/>
    </xf>
    <xf numFmtId="1" fontId="11" fillId="40" borderId="11" xfId="57" applyNumberFormat="1" applyFont="1" applyFill="1" applyBorder="1" applyAlignment="1" applyProtection="1">
      <alignment horizontal="center" vertical="center" wrapText="1"/>
      <protection/>
    </xf>
    <xf numFmtId="3" fontId="15" fillId="40" borderId="11" xfId="0" applyNumberFormat="1" applyFont="1" applyFill="1" applyBorder="1" applyAlignment="1" applyProtection="1">
      <alignment horizontal="right" vertical="center" wrapText="1"/>
      <protection/>
    </xf>
    <xf numFmtId="3" fontId="15" fillId="40" borderId="11" xfId="0" applyNumberFormat="1" applyFont="1" applyFill="1" applyBorder="1" applyAlignment="1" applyProtection="1">
      <alignment horizontal="right" vertical="center"/>
      <protection/>
    </xf>
    <xf numFmtId="4" fontId="15" fillId="40" borderId="11" xfId="0" applyNumberFormat="1" applyFont="1" applyFill="1" applyBorder="1" applyAlignment="1" applyProtection="1">
      <alignment horizontal="right" vertical="center" wrapText="1"/>
      <protection/>
    </xf>
    <xf numFmtId="3" fontId="15" fillId="41" borderId="11" xfId="0" applyNumberFormat="1" applyFont="1" applyFill="1" applyBorder="1" applyAlignment="1" applyProtection="1">
      <alignment horizontal="right" vertical="center" wrapText="1"/>
      <protection/>
    </xf>
    <xf numFmtId="3" fontId="15" fillId="41" borderId="11" xfId="0" applyNumberFormat="1" applyFont="1" applyFill="1" applyBorder="1" applyAlignment="1" applyProtection="1">
      <alignment horizontal="right" vertical="center"/>
      <protection/>
    </xf>
    <xf numFmtId="4" fontId="15" fillId="41" borderId="11" xfId="0" applyNumberFormat="1" applyFont="1" applyFill="1" applyBorder="1" applyAlignment="1" applyProtection="1">
      <alignment horizontal="right" vertical="center" wrapText="1"/>
      <protection/>
    </xf>
    <xf numFmtId="0" fontId="62" fillId="0" borderId="0" xfId="0" applyFont="1" applyAlignment="1" applyProtection="1">
      <alignment/>
      <protection/>
    </xf>
    <xf numFmtId="3" fontId="2" fillId="38" borderId="11" xfId="0" applyNumberFormat="1" applyFont="1" applyFill="1" applyBorder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16" fillId="36" borderId="12" xfId="0" applyNumberFormat="1" applyFont="1" applyFill="1" applyBorder="1" applyAlignment="1" applyProtection="1">
      <alignment wrapText="1"/>
      <protection/>
    </xf>
    <xf numFmtId="0" fontId="16" fillId="36" borderId="13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16" fillId="36" borderId="11" xfId="0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wrapText="1"/>
      <protection/>
    </xf>
    <xf numFmtId="0" fontId="16" fillId="36" borderId="14" xfId="0" applyNumberFormat="1" applyFont="1" applyFill="1" applyBorder="1" applyAlignment="1" applyProtection="1">
      <alignment wrapText="1"/>
      <protection/>
    </xf>
    <xf numFmtId="0" fontId="16" fillId="36" borderId="12" xfId="0" applyFont="1" applyFill="1" applyBorder="1" applyAlignment="1" applyProtection="1">
      <alignment vertical="center"/>
      <protection/>
    </xf>
    <xf numFmtId="0" fontId="15" fillId="40" borderId="11" xfId="0" applyNumberFormat="1" applyFont="1" applyFill="1" applyBorder="1" applyAlignment="1" applyProtection="1">
      <alignment horizontal="center" vertical="center" wrapText="1"/>
      <protection/>
    </xf>
    <xf numFmtId="0" fontId="16" fillId="40" borderId="12" xfId="0" applyNumberFormat="1" applyFont="1" applyFill="1" applyBorder="1" applyAlignment="1" applyProtection="1">
      <alignment wrapText="1"/>
      <protection/>
    </xf>
    <xf numFmtId="0" fontId="16" fillId="40" borderId="13" xfId="0" applyFont="1" applyFill="1" applyBorder="1" applyAlignment="1" applyProtection="1">
      <alignment vertical="center"/>
      <protection/>
    </xf>
    <xf numFmtId="0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16" fillId="36" borderId="15" xfId="0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6" fillId="0" borderId="11" xfId="0" applyFont="1" applyBorder="1" applyAlignment="1" applyProtection="1">
      <alignment vertical="center"/>
      <protection/>
    </xf>
    <xf numFmtId="0" fontId="15" fillId="36" borderId="19" xfId="0" applyNumberFormat="1" applyFont="1" applyFill="1" applyBorder="1" applyAlignment="1" applyProtection="1">
      <alignment horizontal="center" vertical="center" wrapText="1"/>
      <protection/>
    </xf>
    <xf numFmtId="0" fontId="16" fillId="36" borderId="19" xfId="0" applyNumberFormat="1" applyFont="1" applyFill="1" applyBorder="1" applyAlignment="1" applyProtection="1">
      <alignment wrapText="1"/>
      <protection/>
    </xf>
    <xf numFmtId="0" fontId="15" fillId="42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wrapText="1"/>
      <protection/>
    </xf>
    <xf numFmtId="0" fontId="16" fillId="0" borderId="14" xfId="0" applyNumberFormat="1" applyFont="1" applyFill="1" applyBorder="1" applyAlignment="1" applyProtection="1">
      <alignment wrapText="1"/>
      <protection/>
    </xf>
    <xf numFmtId="0" fontId="16" fillId="0" borderId="15" xfId="0" applyFont="1" applyBorder="1" applyAlignment="1" applyProtection="1">
      <alignment vertical="center"/>
      <protection/>
    </xf>
    <xf numFmtId="0" fontId="16" fillId="0" borderId="21" xfId="0" applyNumberFormat="1" applyFont="1" applyFill="1" applyBorder="1" applyAlignment="1" applyProtection="1">
      <alignment wrapText="1"/>
      <protection/>
    </xf>
    <xf numFmtId="0" fontId="15" fillId="36" borderId="11" xfId="0" applyNumberFormat="1" applyFont="1" applyFill="1" applyBorder="1" applyAlignment="1" applyProtection="1">
      <alignment horizontal="center" wrapText="1"/>
      <protection/>
    </xf>
    <xf numFmtId="0" fontId="15" fillId="36" borderId="22" xfId="0" applyNumberFormat="1" applyFont="1" applyFill="1" applyBorder="1" applyAlignment="1" applyProtection="1">
      <alignment horizontal="center" vertical="center" wrapText="1"/>
      <protection/>
    </xf>
    <xf numFmtId="0" fontId="15" fillId="39" borderId="20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39" borderId="14" xfId="0" applyNumberFormat="1" applyFont="1" applyFill="1" applyBorder="1" applyAlignment="1" applyProtection="1">
      <alignment horizontal="center" vertical="center" wrapText="1"/>
      <protection/>
    </xf>
    <xf numFmtId="0" fontId="15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center" vertical="center" wrapText="1"/>
      <protection/>
    </xf>
    <xf numFmtId="0" fontId="16" fillId="36" borderId="11" xfId="0" applyNumberFormat="1" applyFont="1" applyFill="1" applyBorder="1" applyAlignment="1" applyProtection="1">
      <alignment wrapText="1"/>
      <protection/>
    </xf>
    <xf numFmtId="0" fontId="17" fillId="0" borderId="11" xfId="0" applyFont="1" applyBorder="1" applyAlignment="1" applyProtection="1">
      <alignment horizontal="left" vertical="center"/>
      <protection locked="0"/>
    </xf>
    <xf numFmtId="0" fontId="16" fillId="36" borderId="15" xfId="0" applyNumberFormat="1" applyFont="1" applyFill="1" applyBorder="1" applyAlignment="1" applyProtection="1">
      <alignment wrapText="1"/>
      <protection/>
    </xf>
    <xf numFmtId="0" fontId="15" fillId="36" borderId="23" xfId="0" applyNumberFormat="1" applyFont="1" applyFill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left"/>
      <protection/>
    </xf>
    <xf numFmtId="0" fontId="15" fillId="40" borderId="11" xfId="0" applyNumberFormat="1" applyFont="1" applyFill="1" applyBorder="1" applyAlignment="1" applyProtection="1">
      <alignment horizontal="left" vertical="center"/>
      <protection/>
    </xf>
    <xf numFmtId="0" fontId="63" fillId="40" borderId="11" xfId="0" applyNumberFormat="1" applyFont="1" applyFill="1" applyBorder="1" applyAlignment="1" applyProtection="1">
      <alignment horizontal="left" vertical="center" wrapText="1"/>
      <protection/>
    </xf>
    <xf numFmtId="0" fontId="15" fillId="41" borderId="11" xfId="0" applyNumberFormat="1" applyFont="1" applyFill="1" applyBorder="1" applyAlignment="1" applyProtection="1">
      <alignment horizontal="left" vertical="center"/>
      <protection/>
    </xf>
    <xf numFmtId="0" fontId="9" fillId="41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1" fillId="40" borderId="11" xfId="0" applyNumberFormat="1" applyFont="1" applyFill="1" applyBorder="1" applyAlignment="1" applyProtection="1">
      <alignment horizontal="center" vertical="center" wrapText="1"/>
      <protection/>
    </xf>
    <xf numFmtId="0" fontId="57" fillId="40" borderId="11" xfId="0" applyFont="1" applyFill="1" applyBorder="1" applyAlignment="1" applyProtection="1">
      <alignment vertical="center"/>
      <protection/>
    </xf>
    <xf numFmtId="0" fontId="57" fillId="40" borderId="11" xfId="0" applyNumberFormat="1" applyFont="1" applyFill="1" applyBorder="1" applyAlignment="1" applyProtection="1">
      <alignment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60" fillId="36" borderId="11" xfId="58" applyFont="1" applyFill="1" applyBorder="1" applyAlignment="1" applyProtection="1">
      <alignment horizontal="center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12" fillId="0" borderId="18" xfId="58" applyFont="1" applyFill="1" applyBorder="1" applyAlignment="1" applyProtection="1">
      <alignment horizontal="left" vertical="center"/>
      <protection/>
    </xf>
    <xf numFmtId="0" fontId="60" fillId="0" borderId="10" xfId="58" applyFont="1" applyBorder="1" applyAlignment="1" applyProtection="1">
      <alignment horizontal="center" vertical="center"/>
      <protection/>
    </xf>
    <xf numFmtId="0" fontId="59" fillId="36" borderId="11" xfId="58" applyFont="1" applyFill="1" applyBorder="1" applyAlignment="1" applyProtection="1">
      <alignment horizontal="center" vertical="center" textRotation="90"/>
      <protection/>
    </xf>
    <xf numFmtId="0" fontId="59" fillId="36" borderId="11" xfId="58" applyFont="1" applyFill="1" applyBorder="1" applyAlignment="1" applyProtection="1">
      <alignment horizontal="center" vertical="center" wrapText="1"/>
      <protection/>
    </xf>
    <xf numFmtId="0" fontId="59" fillId="36" borderId="11" xfId="58" applyFont="1" applyFill="1" applyBorder="1" applyAlignment="1" applyProtection="1">
      <alignment horizontal="center" vertical="center"/>
      <protection/>
    </xf>
    <xf numFmtId="0" fontId="60" fillId="0" borderId="0" xfId="58" applyFont="1" applyBorder="1" applyAlignment="1" applyProtection="1">
      <alignment horizontal="center" vertical="center"/>
      <protection/>
    </xf>
    <xf numFmtId="0" fontId="58" fillId="0" borderId="11" xfId="58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9"/>
  <sheetViews>
    <sheetView tabSelected="1" view="pageBreakPreview" zoomScale="60" zoomScaleNormal="90" zoomScalePageLayoutView="0" workbookViewId="0" topLeftCell="A1">
      <selection activeCell="R33" sqref="R33"/>
    </sheetView>
  </sheetViews>
  <sheetFormatPr defaultColWidth="9.140625" defaultRowHeight="12.75" customHeight="1"/>
  <cols>
    <col min="1" max="1" width="7.8515625" style="2" customWidth="1"/>
    <col min="2" max="2" width="16.00390625" style="2" customWidth="1"/>
    <col min="3" max="3" width="11.8515625" style="2" customWidth="1"/>
    <col min="4" max="4" width="12.8515625" style="2" customWidth="1"/>
    <col min="5" max="5" width="14.8515625" style="2" customWidth="1"/>
    <col min="6" max="6" width="14.7109375" style="2" customWidth="1"/>
    <col min="7" max="8" width="10.7109375" style="2" customWidth="1"/>
    <col min="9" max="9" width="12.140625" style="2" customWidth="1"/>
    <col min="10" max="10" width="11.421875" style="2" customWidth="1"/>
    <col min="11" max="11" width="14.57421875" style="2" customWidth="1"/>
    <col min="12" max="12" width="14.140625" style="2" customWidth="1"/>
    <col min="13" max="13" width="13.57421875" style="2" customWidth="1"/>
    <col min="14" max="14" width="16.28125" style="2" customWidth="1"/>
    <col min="15" max="15" width="15.00390625" style="2" customWidth="1"/>
    <col min="16" max="16" width="14.7109375" style="2" customWidth="1"/>
    <col min="17" max="17" width="13.140625" style="2" customWidth="1"/>
    <col min="18" max="18" width="15.00390625" style="2" customWidth="1"/>
    <col min="19" max="19" width="15.28125" style="2" customWidth="1"/>
    <col min="20" max="20" width="16.00390625" style="2" customWidth="1"/>
    <col min="21" max="22" width="12.7109375" style="2" customWidth="1"/>
    <col min="23" max="23" width="16.8515625" style="2" customWidth="1"/>
    <col min="24" max="31" width="10.28125" style="2" customWidth="1"/>
    <col min="32" max="32" width="17.00390625" style="2" customWidth="1"/>
    <col min="33" max="33" width="12.57421875" style="2" customWidth="1"/>
    <col min="34" max="34" width="13.140625" style="2" customWidth="1"/>
    <col min="35" max="35" width="12.28125" style="2" customWidth="1"/>
    <col min="36" max="36" width="13.8515625" style="2" customWidth="1"/>
    <col min="37" max="37" width="11.8515625" style="2" customWidth="1"/>
    <col min="38" max="38" width="12.00390625" style="2" customWidth="1"/>
    <col min="39" max="39" width="12.28125" style="2" customWidth="1"/>
    <col min="40" max="16384" width="9.140625" style="2" customWidth="1"/>
  </cols>
  <sheetData>
    <row r="1" spans="1:27" ht="13.5" thickBot="1">
      <c r="A1" s="22"/>
      <c r="B1" s="23"/>
      <c r="C1" s="23"/>
      <c r="D1" s="23"/>
      <c r="E1" s="23"/>
      <c r="F1" s="23"/>
      <c r="G1" s="23"/>
      <c r="H1" s="19"/>
      <c r="I1" s="19"/>
      <c r="AA1" s="2">
        <f>""</f>
      </c>
    </row>
    <row r="2" spans="1:7" ht="24.75" customHeight="1" thickBot="1">
      <c r="A2" s="105" t="s">
        <v>32</v>
      </c>
      <c r="B2" s="106"/>
      <c r="C2" s="106"/>
      <c r="D2" s="106"/>
      <c r="E2" s="106"/>
      <c r="F2" s="106"/>
      <c r="G2" s="107"/>
    </row>
    <row r="3" spans="1:27" ht="58.5" customHeight="1">
      <c r="A3" s="95" t="s">
        <v>81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9"/>
      <c r="V3" s="19"/>
      <c r="W3" s="19"/>
      <c r="X3" s="19"/>
      <c r="Y3" s="19"/>
      <c r="Z3" s="19"/>
      <c r="AA3" s="19"/>
    </row>
    <row r="4" spans="1:34" ht="18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9" ht="55.5" customHeight="1">
      <c r="A5" s="92" t="s">
        <v>5</v>
      </c>
      <c r="B5" s="92" t="s">
        <v>30</v>
      </c>
      <c r="C5" s="92" t="s">
        <v>9</v>
      </c>
      <c r="D5" s="92" t="s">
        <v>27</v>
      </c>
      <c r="E5" s="92"/>
      <c r="F5" s="97"/>
      <c r="G5" s="92" t="s">
        <v>29</v>
      </c>
      <c r="H5" s="98"/>
      <c r="I5" s="92" t="s">
        <v>1</v>
      </c>
      <c r="J5" s="100" t="s">
        <v>24</v>
      </c>
      <c r="K5" s="111" t="s">
        <v>20</v>
      </c>
      <c r="L5" s="112"/>
      <c r="M5" s="112"/>
      <c r="N5" s="112"/>
      <c r="O5" s="112"/>
      <c r="P5" s="98"/>
      <c r="Q5" s="92" t="s">
        <v>0</v>
      </c>
      <c r="R5" s="111" t="s">
        <v>22</v>
      </c>
      <c r="S5" s="111"/>
      <c r="T5" s="115"/>
      <c r="U5" s="118" t="s">
        <v>19</v>
      </c>
      <c r="V5" s="115"/>
      <c r="W5" s="113" t="s">
        <v>17</v>
      </c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70"/>
      <c r="AJ5" s="70"/>
      <c r="AK5" s="70"/>
      <c r="AL5" s="70"/>
      <c r="AM5" s="71"/>
    </row>
    <row r="6" spans="1:39" ht="53.25" customHeight="1">
      <c r="A6" s="110"/>
      <c r="B6" s="96"/>
      <c r="C6" s="125"/>
      <c r="D6" s="92" t="s">
        <v>25</v>
      </c>
      <c r="E6" s="92" t="s">
        <v>44</v>
      </c>
      <c r="F6" s="92" t="s">
        <v>45</v>
      </c>
      <c r="G6" s="92" t="s">
        <v>25</v>
      </c>
      <c r="H6" s="92" t="s">
        <v>26</v>
      </c>
      <c r="I6" s="99"/>
      <c r="J6" s="101"/>
      <c r="K6" s="92" t="s">
        <v>7</v>
      </c>
      <c r="L6" s="103" t="s">
        <v>31</v>
      </c>
      <c r="M6" s="103" t="s">
        <v>13</v>
      </c>
      <c r="N6" s="103" t="s">
        <v>10</v>
      </c>
      <c r="O6" s="92" t="s">
        <v>44</v>
      </c>
      <c r="P6" s="92" t="s">
        <v>45</v>
      </c>
      <c r="Q6" s="93"/>
      <c r="R6" s="103" t="s">
        <v>28</v>
      </c>
      <c r="S6" s="92" t="s">
        <v>44</v>
      </c>
      <c r="T6" s="100" t="s">
        <v>45</v>
      </c>
      <c r="U6" s="103" t="s">
        <v>25</v>
      </c>
      <c r="V6" s="103" t="s">
        <v>43</v>
      </c>
      <c r="W6" s="103" t="s">
        <v>12</v>
      </c>
      <c r="X6" s="118" t="s">
        <v>3</v>
      </c>
      <c r="Y6" s="115"/>
      <c r="Z6" s="118" t="s">
        <v>8</v>
      </c>
      <c r="AA6" s="115"/>
      <c r="AB6" s="118" t="s">
        <v>6</v>
      </c>
      <c r="AC6" s="115"/>
      <c r="AD6" s="118" t="s">
        <v>21</v>
      </c>
      <c r="AE6" s="115"/>
      <c r="AF6" s="92" t="s">
        <v>16</v>
      </c>
      <c r="AG6" s="103" t="s">
        <v>2</v>
      </c>
      <c r="AH6" s="72" t="s">
        <v>11</v>
      </c>
      <c r="AI6" s="128" t="s">
        <v>15</v>
      </c>
      <c r="AJ6" s="119" t="s">
        <v>14</v>
      </c>
      <c r="AK6" s="119" t="s">
        <v>23</v>
      </c>
      <c r="AL6" s="119" t="s">
        <v>46</v>
      </c>
      <c r="AM6" s="92" t="s">
        <v>42</v>
      </c>
    </row>
    <row r="7" spans="1:39" ht="58.5" customHeight="1">
      <c r="A7" s="110"/>
      <c r="B7" s="96"/>
      <c r="C7" s="96"/>
      <c r="D7" s="96"/>
      <c r="E7" s="96"/>
      <c r="F7" s="92"/>
      <c r="G7" s="94"/>
      <c r="H7" s="94"/>
      <c r="I7" s="94"/>
      <c r="J7" s="102"/>
      <c r="K7" s="94"/>
      <c r="L7" s="104"/>
      <c r="M7" s="104"/>
      <c r="N7" s="104"/>
      <c r="O7" s="96"/>
      <c r="P7" s="92"/>
      <c r="Q7" s="94"/>
      <c r="R7" s="116"/>
      <c r="S7" s="96"/>
      <c r="T7" s="100"/>
      <c r="U7" s="116"/>
      <c r="V7" s="116"/>
      <c r="W7" s="117"/>
      <c r="X7" s="69" t="s">
        <v>18</v>
      </c>
      <c r="Y7" s="69" t="s">
        <v>4</v>
      </c>
      <c r="Z7" s="69" t="s">
        <v>18</v>
      </c>
      <c r="AA7" s="69" t="s">
        <v>4</v>
      </c>
      <c r="AB7" s="69" t="s">
        <v>18</v>
      </c>
      <c r="AC7" s="69" t="s">
        <v>4</v>
      </c>
      <c r="AD7" s="69" t="s">
        <v>18</v>
      </c>
      <c r="AE7" s="69" t="s">
        <v>4</v>
      </c>
      <c r="AF7" s="94"/>
      <c r="AG7" s="127"/>
      <c r="AH7" s="73" t="s">
        <v>4</v>
      </c>
      <c r="AI7" s="94"/>
      <c r="AJ7" s="104"/>
      <c r="AK7" s="104"/>
      <c r="AL7" s="104"/>
      <c r="AM7" s="96"/>
    </row>
    <row r="8" spans="1:39" ht="19.5" customHeight="1">
      <c r="A8" s="84">
        <v>1</v>
      </c>
      <c r="B8" s="85" t="s">
        <v>33</v>
      </c>
      <c r="C8" s="54">
        <v>49</v>
      </c>
      <c r="D8" s="54">
        <v>100650</v>
      </c>
      <c r="E8" s="54">
        <v>6031</v>
      </c>
      <c r="F8" s="54">
        <v>6243</v>
      </c>
      <c r="G8" s="54">
        <v>6637</v>
      </c>
      <c r="H8" s="54">
        <v>6553</v>
      </c>
      <c r="I8" s="57">
        <f>IF((C8=0),"",((G8/C8)/6))</f>
        <v>22.57482993197279</v>
      </c>
      <c r="J8" s="56">
        <f aca="true" t="shared" si="0" ref="J8:J21">D8+G8</f>
        <v>107287</v>
      </c>
      <c r="K8" s="54">
        <v>13444</v>
      </c>
      <c r="L8" s="54">
        <v>641</v>
      </c>
      <c r="M8" s="56">
        <f aca="true" t="shared" si="1" ref="M8:M21">K8+L8</f>
        <v>14085</v>
      </c>
      <c r="N8" s="54"/>
      <c r="O8" s="54">
        <v>3393</v>
      </c>
      <c r="P8" s="54">
        <v>3484</v>
      </c>
      <c r="Q8" s="57">
        <f>IF((C8=0),"",((M8/C8)/6))</f>
        <v>47.90816326530612</v>
      </c>
      <c r="R8" s="54">
        <v>93202</v>
      </c>
      <c r="S8" s="54">
        <v>6733</v>
      </c>
      <c r="T8" s="54">
        <v>6947</v>
      </c>
      <c r="U8" s="55">
        <f aca="true" t="shared" si="2" ref="U8:U21">IF((C8=0),"",(R8/C8))</f>
        <v>1902.0816326530612</v>
      </c>
      <c r="V8" s="55">
        <f>IF((C8=0),"",(S8/C8))</f>
        <v>137.40816326530611</v>
      </c>
      <c r="W8" s="56">
        <f aca="true" t="shared" si="3" ref="W8:W14">X8+Z8+AB8+AD8</f>
        <v>93</v>
      </c>
      <c r="X8" s="54">
        <v>90</v>
      </c>
      <c r="Y8" s="55">
        <f aca="true" t="shared" si="4" ref="Y8:Y21">IF((W8=0),"",((X8/W8)*100))</f>
        <v>96.7741935483871</v>
      </c>
      <c r="Z8" s="54">
        <v>1</v>
      </c>
      <c r="AA8" s="55">
        <f aca="true" t="shared" si="5" ref="AA8:AA21">IF((W8=0),"",((Z8/W8)*100))</f>
        <v>1.0752688172043012</v>
      </c>
      <c r="AB8" s="54">
        <v>2</v>
      </c>
      <c r="AC8" s="55">
        <f aca="true" t="shared" si="6" ref="AC8:AC21">IF((W8=0),"",((AB8/W8)*100))</f>
        <v>2.1505376344086025</v>
      </c>
      <c r="AD8" s="54"/>
      <c r="AE8" s="55">
        <f aca="true" t="shared" si="7" ref="AE8:AE21">IF((W8=0),"",((AD8/W8)*100))</f>
        <v>0</v>
      </c>
      <c r="AF8" s="55">
        <f aca="true" t="shared" si="8" ref="AF8:AF21">IF((G8=0),"",((M8/G8)*100))</f>
        <v>212.21937622419767</v>
      </c>
      <c r="AG8" s="55">
        <f aca="true" t="shared" si="9" ref="AG8:AG21">IF((J8=0),"",((M8/J8)*100))</f>
        <v>13.12833800926487</v>
      </c>
      <c r="AH8" s="55">
        <f aca="true" t="shared" si="10" ref="AH8:AH21">IF((M8=0),"",((((M8-Z8)-AB8)/M8)*100))</f>
        <v>99.9787007454739</v>
      </c>
      <c r="AI8" s="57">
        <f>IF((G8=0),"",((R8*6)/G8))</f>
        <v>84.25674250414343</v>
      </c>
      <c r="AJ8" s="57">
        <f aca="true" t="shared" si="11" ref="AJ8:AJ21">IF((K8=0),"",((K8/M8)*100))</f>
        <v>95.44905928292509</v>
      </c>
      <c r="AK8" s="57">
        <f aca="true" t="shared" si="12" ref="AK8:AK21">IF((L8=0),"",((L8/M8)*100))</f>
        <v>4.550940717074902</v>
      </c>
      <c r="AL8" s="57">
        <f aca="true" t="shared" si="13" ref="AL8:AL21">IF((M8=0),"",((P8/M8)*100))</f>
        <v>24.73553425630103</v>
      </c>
      <c r="AM8" s="57">
        <f>IF((C8=0),"",((J8/C8/6)))</f>
        <v>364.92176870748295</v>
      </c>
    </row>
    <row r="9" spans="1:39" ht="19.5" customHeight="1">
      <c r="A9" s="84">
        <v>2</v>
      </c>
      <c r="B9" s="85" t="s">
        <v>37</v>
      </c>
      <c r="C9" s="54">
        <v>36</v>
      </c>
      <c r="D9" s="54">
        <v>116</v>
      </c>
      <c r="E9" s="54">
        <v>10</v>
      </c>
      <c r="F9" s="54">
        <v>13</v>
      </c>
      <c r="G9" s="54">
        <v>49</v>
      </c>
      <c r="H9" s="54">
        <v>49</v>
      </c>
      <c r="I9" s="57">
        <f aca="true" t="shared" si="14" ref="I9:I23">IF((C9=0),"",((G9/C9)/6))</f>
        <v>0.22685185185185186</v>
      </c>
      <c r="J9" s="56">
        <f t="shared" si="0"/>
        <v>165</v>
      </c>
      <c r="K9" s="54">
        <v>43</v>
      </c>
      <c r="L9" s="54">
        <v>16</v>
      </c>
      <c r="M9" s="56">
        <f t="shared" si="1"/>
        <v>59</v>
      </c>
      <c r="N9" s="54"/>
      <c r="O9" s="54">
        <v>8</v>
      </c>
      <c r="P9" s="54">
        <v>11</v>
      </c>
      <c r="Q9" s="57">
        <f aca="true" t="shared" si="15" ref="Q9:Q23">IF((C9=0),"",((M9/C9)/6))</f>
        <v>0.27314814814814814</v>
      </c>
      <c r="R9" s="54">
        <v>106</v>
      </c>
      <c r="S9" s="54">
        <v>5</v>
      </c>
      <c r="T9" s="54">
        <v>8</v>
      </c>
      <c r="U9" s="55">
        <f t="shared" si="2"/>
        <v>2.9444444444444446</v>
      </c>
      <c r="V9" s="55">
        <f aca="true" t="shared" si="16" ref="V9:V21">IF((C9=0),"",(S9/C9))</f>
        <v>0.1388888888888889</v>
      </c>
      <c r="W9" s="56">
        <f t="shared" si="3"/>
        <v>0</v>
      </c>
      <c r="X9" s="54"/>
      <c r="Y9" s="55">
        <f t="shared" si="4"/>
      </c>
      <c r="Z9" s="54"/>
      <c r="AA9" s="55">
        <f t="shared" si="5"/>
      </c>
      <c r="AB9" s="54"/>
      <c r="AC9" s="55">
        <f t="shared" si="6"/>
      </c>
      <c r="AD9" s="54"/>
      <c r="AE9" s="55">
        <f t="shared" si="7"/>
      </c>
      <c r="AF9" s="55">
        <f t="shared" si="8"/>
        <v>120.40816326530613</v>
      </c>
      <c r="AG9" s="55">
        <f t="shared" si="9"/>
        <v>35.75757575757576</v>
      </c>
      <c r="AH9" s="55">
        <f t="shared" si="10"/>
        <v>100</v>
      </c>
      <c r="AI9" s="57">
        <f aca="true" t="shared" si="17" ref="AI9:AI23">IF((G9=0),"",((R9*6)/G9))</f>
        <v>12.979591836734693</v>
      </c>
      <c r="AJ9" s="57">
        <f t="shared" si="11"/>
        <v>72.88135593220339</v>
      </c>
      <c r="AK9" s="57">
        <f t="shared" si="12"/>
        <v>27.11864406779661</v>
      </c>
      <c r="AL9" s="57">
        <f t="shared" si="13"/>
        <v>18.64406779661017</v>
      </c>
      <c r="AM9" s="57">
        <f aca="true" t="shared" si="18" ref="AM9:AM23">IF((C9=0),"",((J9/C9/6)))</f>
        <v>0.7638888888888888</v>
      </c>
    </row>
    <row r="10" spans="1:39" ht="19.5" customHeight="1">
      <c r="A10" s="84">
        <v>3</v>
      </c>
      <c r="B10" s="85" t="s">
        <v>38</v>
      </c>
      <c r="C10" s="54">
        <v>49</v>
      </c>
      <c r="D10" s="54">
        <v>1994</v>
      </c>
      <c r="E10" s="54">
        <v>44</v>
      </c>
      <c r="F10" s="54">
        <v>49</v>
      </c>
      <c r="G10" s="54">
        <v>755</v>
      </c>
      <c r="H10" s="54">
        <v>753</v>
      </c>
      <c r="I10" s="57">
        <f t="shared" si="14"/>
        <v>2.568027210884354</v>
      </c>
      <c r="J10" s="56">
        <f t="shared" si="0"/>
        <v>2749</v>
      </c>
      <c r="K10" s="54">
        <v>375</v>
      </c>
      <c r="L10" s="54">
        <v>9</v>
      </c>
      <c r="M10" s="56">
        <f t="shared" si="1"/>
        <v>384</v>
      </c>
      <c r="N10" s="54"/>
      <c r="O10" s="54">
        <v>19</v>
      </c>
      <c r="P10" s="54">
        <v>22</v>
      </c>
      <c r="Q10" s="57">
        <f t="shared" si="15"/>
        <v>1.3061224489795917</v>
      </c>
      <c r="R10" s="54">
        <v>2365</v>
      </c>
      <c r="S10" s="54">
        <v>46</v>
      </c>
      <c r="T10" s="54">
        <v>55</v>
      </c>
      <c r="U10" s="55">
        <f t="shared" si="2"/>
        <v>48.265306122448976</v>
      </c>
      <c r="V10" s="55">
        <f t="shared" si="16"/>
        <v>0.9387755102040817</v>
      </c>
      <c r="W10" s="56">
        <f t="shared" si="3"/>
        <v>1</v>
      </c>
      <c r="X10" s="54"/>
      <c r="Y10" s="55">
        <f t="shared" si="4"/>
        <v>0</v>
      </c>
      <c r="Z10" s="54"/>
      <c r="AA10" s="55">
        <f t="shared" si="5"/>
        <v>0</v>
      </c>
      <c r="AB10" s="54">
        <v>1</v>
      </c>
      <c r="AC10" s="55">
        <f t="shared" si="6"/>
        <v>100</v>
      </c>
      <c r="AD10" s="54"/>
      <c r="AE10" s="55">
        <f t="shared" si="7"/>
        <v>0</v>
      </c>
      <c r="AF10" s="55">
        <f t="shared" si="8"/>
        <v>50.86092715231788</v>
      </c>
      <c r="AG10" s="55">
        <f t="shared" si="9"/>
        <v>13.968715896689703</v>
      </c>
      <c r="AH10" s="55">
        <f t="shared" si="10"/>
        <v>99.73958333333334</v>
      </c>
      <c r="AI10" s="57">
        <f t="shared" si="17"/>
        <v>18.794701986754966</v>
      </c>
      <c r="AJ10" s="57">
        <f t="shared" si="11"/>
        <v>97.65625</v>
      </c>
      <c r="AK10" s="57">
        <f t="shared" si="12"/>
        <v>2.34375</v>
      </c>
      <c r="AL10" s="57">
        <f t="shared" si="13"/>
        <v>5.729166666666666</v>
      </c>
      <c r="AM10" s="57">
        <f t="shared" si="18"/>
        <v>9.350340136054422</v>
      </c>
    </row>
    <row r="11" spans="1:39" ht="19.5" customHeight="1">
      <c r="A11" s="84">
        <v>4</v>
      </c>
      <c r="B11" s="85" t="s">
        <v>39</v>
      </c>
      <c r="C11" s="54">
        <v>41</v>
      </c>
      <c r="D11" s="54"/>
      <c r="E11" s="54"/>
      <c r="F11" s="54"/>
      <c r="G11" s="54">
        <v>50</v>
      </c>
      <c r="H11" s="54">
        <v>50</v>
      </c>
      <c r="I11" s="57">
        <f t="shared" si="14"/>
        <v>0.2032520325203252</v>
      </c>
      <c r="J11" s="56">
        <f t="shared" si="0"/>
        <v>50</v>
      </c>
      <c r="K11" s="54">
        <v>43</v>
      </c>
      <c r="L11" s="54">
        <v>3</v>
      </c>
      <c r="M11" s="56">
        <f t="shared" si="1"/>
        <v>46</v>
      </c>
      <c r="N11" s="54"/>
      <c r="O11" s="54"/>
      <c r="P11" s="54"/>
      <c r="Q11" s="57">
        <f t="shared" si="15"/>
        <v>0.1869918699186992</v>
      </c>
      <c r="R11" s="54">
        <v>4</v>
      </c>
      <c r="S11" s="54"/>
      <c r="T11" s="54"/>
      <c r="U11" s="55">
        <f t="shared" si="2"/>
        <v>0.0975609756097561</v>
      </c>
      <c r="V11" s="55">
        <f t="shared" si="16"/>
        <v>0</v>
      </c>
      <c r="W11" s="56">
        <f t="shared" si="3"/>
        <v>0</v>
      </c>
      <c r="X11" s="54"/>
      <c r="Y11" s="55">
        <f t="shared" si="4"/>
      </c>
      <c r="Z11" s="54"/>
      <c r="AA11" s="55">
        <f t="shared" si="5"/>
      </c>
      <c r="AB11" s="54"/>
      <c r="AC11" s="55">
        <f t="shared" si="6"/>
      </c>
      <c r="AD11" s="54"/>
      <c r="AE11" s="55">
        <f t="shared" si="7"/>
      </c>
      <c r="AF11" s="55">
        <f t="shared" si="8"/>
        <v>92</v>
      </c>
      <c r="AG11" s="55">
        <f t="shared" si="9"/>
        <v>92</v>
      </c>
      <c r="AH11" s="55">
        <f t="shared" si="10"/>
        <v>100</v>
      </c>
      <c r="AI11" s="57">
        <f t="shared" si="17"/>
        <v>0.48</v>
      </c>
      <c r="AJ11" s="57">
        <f t="shared" si="11"/>
        <v>93.47826086956522</v>
      </c>
      <c r="AK11" s="57">
        <f t="shared" si="12"/>
        <v>6.521739130434782</v>
      </c>
      <c r="AL11" s="57">
        <f t="shared" si="13"/>
        <v>0</v>
      </c>
      <c r="AM11" s="57">
        <f t="shared" si="18"/>
        <v>0.2032520325203252</v>
      </c>
    </row>
    <row r="12" spans="1:39" ht="19.5" customHeight="1">
      <c r="A12" s="84">
        <v>5</v>
      </c>
      <c r="B12" s="86" t="s">
        <v>40</v>
      </c>
      <c r="C12" s="54">
        <v>16</v>
      </c>
      <c r="D12" s="54">
        <v>257</v>
      </c>
      <c r="E12" s="54"/>
      <c r="F12" s="54"/>
      <c r="G12" s="54">
        <v>171</v>
      </c>
      <c r="H12" s="54">
        <v>170</v>
      </c>
      <c r="I12" s="57">
        <f t="shared" si="14"/>
        <v>1.78125</v>
      </c>
      <c r="J12" s="56">
        <f t="shared" si="0"/>
        <v>428</v>
      </c>
      <c r="K12" s="54">
        <v>160</v>
      </c>
      <c r="L12" s="54">
        <v>2</v>
      </c>
      <c r="M12" s="56">
        <f t="shared" si="1"/>
        <v>162</v>
      </c>
      <c r="N12" s="54"/>
      <c r="O12" s="54">
        <v>2</v>
      </c>
      <c r="P12" s="54">
        <v>2</v>
      </c>
      <c r="Q12" s="57">
        <f t="shared" si="15"/>
        <v>1.6875</v>
      </c>
      <c r="R12" s="54">
        <v>266</v>
      </c>
      <c r="S12" s="54">
        <v>1</v>
      </c>
      <c r="T12" s="54">
        <v>1</v>
      </c>
      <c r="U12" s="55">
        <f t="shared" si="2"/>
        <v>16.625</v>
      </c>
      <c r="V12" s="55">
        <f t="shared" si="16"/>
        <v>0.0625</v>
      </c>
      <c r="W12" s="56">
        <f t="shared" si="3"/>
        <v>2</v>
      </c>
      <c r="X12" s="54">
        <v>2</v>
      </c>
      <c r="Y12" s="55">
        <f t="shared" si="4"/>
        <v>100</v>
      </c>
      <c r="Z12" s="54"/>
      <c r="AA12" s="55">
        <f t="shared" si="5"/>
        <v>0</v>
      </c>
      <c r="AB12" s="54"/>
      <c r="AC12" s="55">
        <f t="shared" si="6"/>
        <v>0</v>
      </c>
      <c r="AD12" s="54"/>
      <c r="AE12" s="55">
        <f t="shared" si="7"/>
        <v>0</v>
      </c>
      <c r="AF12" s="55">
        <f t="shared" si="8"/>
        <v>94.73684210526315</v>
      </c>
      <c r="AG12" s="55">
        <f t="shared" si="9"/>
        <v>37.850467289719624</v>
      </c>
      <c r="AH12" s="55">
        <f t="shared" si="10"/>
        <v>100</v>
      </c>
      <c r="AI12" s="57">
        <f t="shared" si="17"/>
        <v>9.333333333333334</v>
      </c>
      <c r="AJ12" s="57">
        <f t="shared" si="11"/>
        <v>98.76543209876543</v>
      </c>
      <c r="AK12" s="57">
        <f t="shared" si="12"/>
        <v>1.2345679012345678</v>
      </c>
      <c r="AL12" s="57">
        <f t="shared" si="13"/>
        <v>1.2345679012345678</v>
      </c>
      <c r="AM12" s="57">
        <f t="shared" si="18"/>
        <v>4.458333333333333</v>
      </c>
    </row>
    <row r="13" spans="1:39" ht="19.5" customHeight="1">
      <c r="A13" s="84">
        <v>6</v>
      </c>
      <c r="B13" s="86" t="s">
        <v>41</v>
      </c>
      <c r="C13" s="54">
        <v>24</v>
      </c>
      <c r="D13" s="54">
        <v>129</v>
      </c>
      <c r="E13" s="54">
        <v>25</v>
      </c>
      <c r="F13" s="54">
        <v>30</v>
      </c>
      <c r="G13" s="54">
        <v>22</v>
      </c>
      <c r="H13" s="54"/>
      <c r="I13" s="57">
        <f t="shared" si="14"/>
        <v>0.15277777777777776</v>
      </c>
      <c r="J13" s="56">
        <f>D13+G13</f>
        <v>151</v>
      </c>
      <c r="K13" s="54">
        <v>45</v>
      </c>
      <c r="L13" s="54">
        <v>2</v>
      </c>
      <c r="M13" s="56">
        <f>K13+L13</f>
        <v>47</v>
      </c>
      <c r="N13" s="54"/>
      <c r="O13" s="54">
        <v>13</v>
      </c>
      <c r="P13" s="54">
        <v>13</v>
      </c>
      <c r="Q13" s="57">
        <f t="shared" si="15"/>
        <v>0.3263888888888889</v>
      </c>
      <c r="R13" s="54">
        <v>104</v>
      </c>
      <c r="S13" s="54">
        <v>18</v>
      </c>
      <c r="T13" s="54">
        <v>25</v>
      </c>
      <c r="U13" s="55">
        <f>IF((C13=0),"",(R13/C13))</f>
        <v>4.333333333333333</v>
      </c>
      <c r="V13" s="55">
        <f>IF((C13=0),"",(S13/C13))</f>
        <v>0.75</v>
      </c>
      <c r="W13" s="56">
        <f>X13+Z13+AB13+AD13</f>
        <v>0</v>
      </c>
      <c r="X13" s="54"/>
      <c r="Y13" s="55">
        <f>IF((W13=0),"",((X13/W13)*100))</f>
      </c>
      <c r="Z13" s="54"/>
      <c r="AA13" s="55">
        <f>IF((W13=0),"",((Z13/W13)*100))</f>
      </c>
      <c r="AB13" s="54"/>
      <c r="AC13" s="55">
        <f>IF((W13=0),"",((AB13/W13)*100))</f>
      </c>
      <c r="AD13" s="54"/>
      <c r="AE13" s="55">
        <f>IF((W13=0),"",((AD13/W13)*100))</f>
      </c>
      <c r="AF13" s="55">
        <f>IF((G13=0),"",((M13/G13)*100))</f>
        <v>213.63636363636363</v>
      </c>
      <c r="AG13" s="55">
        <f>IF((J13=0),"",((M13/J13)*100))</f>
        <v>31.125827814569533</v>
      </c>
      <c r="AH13" s="55">
        <f>IF((M13=0),"",((((M13-Z13)-AB13)/M13)*100))</f>
        <v>100</v>
      </c>
      <c r="AI13" s="57">
        <f t="shared" si="17"/>
        <v>28.363636363636363</v>
      </c>
      <c r="AJ13" s="57">
        <f>IF((K13=0),"",((K13/M13)*100))</f>
        <v>95.74468085106383</v>
      </c>
      <c r="AK13" s="57">
        <f>IF((L13=0),"",((L13/M13)*100))</f>
        <v>4.25531914893617</v>
      </c>
      <c r="AL13" s="57">
        <f>IF((M13=0),"",((P13/M13)*100))</f>
        <v>27.659574468085108</v>
      </c>
      <c r="AM13" s="57">
        <f t="shared" si="18"/>
        <v>1.0486111111111112</v>
      </c>
    </row>
    <row r="14" spans="1:39" ht="19.5" customHeight="1">
      <c r="A14" s="84">
        <v>7</v>
      </c>
      <c r="B14" s="86" t="s">
        <v>87</v>
      </c>
      <c r="C14" s="54">
        <v>49</v>
      </c>
      <c r="D14" s="54"/>
      <c r="E14" s="54"/>
      <c r="F14" s="54"/>
      <c r="G14" s="54">
        <v>33948</v>
      </c>
      <c r="H14" s="54">
        <v>33930</v>
      </c>
      <c r="I14" s="57">
        <f t="shared" si="14"/>
        <v>115.46938775510205</v>
      </c>
      <c r="J14" s="56">
        <f t="shared" si="0"/>
        <v>33948</v>
      </c>
      <c r="K14" s="54">
        <v>116</v>
      </c>
      <c r="L14" s="54">
        <v>6</v>
      </c>
      <c r="M14" s="56">
        <f t="shared" si="1"/>
        <v>122</v>
      </c>
      <c r="N14" s="54"/>
      <c r="O14" s="54"/>
      <c r="P14" s="54">
        <v>1</v>
      </c>
      <c r="Q14" s="57">
        <f t="shared" si="15"/>
        <v>0.41496598639455784</v>
      </c>
      <c r="R14" s="54">
        <v>33826</v>
      </c>
      <c r="S14" s="54">
        <v>0</v>
      </c>
      <c r="T14" s="54">
        <v>6</v>
      </c>
      <c r="U14" s="55">
        <f t="shared" si="2"/>
        <v>690.3265306122449</v>
      </c>
      <c r="V14" s="55">
        <f t="shared" si="16"/>
        <v>0</v>
      </c>
      <c r="W14" s="56">
        <f t="shared" si="3"/>
        <v>0</v>
      </c>
      <c r="X14" s="54"/>
      <c r="Y14" s="55">
        <f t="shared" si="4"/>
      </c>
      <c r="Z14" s="54"/>
      <c r="AA14" s="55">
        <f t="shared" si="5"/>
      </c>
      <c r="AB14" s="54"/>
      <c r="AC14" s="55">
        <f t="shared" si="6"/>
      </c>
      <c r="AD14" s="54"/>
      <c r="AE14" s="55">
        <f t="shared" si="7"/>
      </c>
      <c r="AF14" s="55">
        <f t="shared" si="8"/>
        <v>0.3593731589489808</v>
      </c>
      <c r="AG14" s="55">
        <f t="shared" si="9"/>
        <v>0.3593731589489808</v>
      </c>
      <c r="AH14" s="55">
        <f t="shared" si="10"/>
        <v>100</v>
      </c>
      <c r="AI14" s="57">
        <f t="shared" si="17"/>
        <v>5.978437610463061</v>
      </c>
      <c r="AJ14" s="57">
        <f t="shared" si="11"/>
        <v>95.08196721311475</v>
      </c>
      <c r="AK14" s="57">
        <f t="shared" si="12"/>
        <v>4.918032786885246</v>
      </c>
      <c r="AL14" s="57">
        <f t="shared" si="13"/>
        <v>0.819672131147541</v>
      </c>
      <c r="AM14" s="57">
        <f t="shared" si="18"/>
        <v>115.46938775510205</v>
      </c>
    </row>
    <row r="15" spans="1:39" s="3" customFormat="1" ht="19.5" customHeight="1">
      <c r="A15" s="120" t="s">
        <v>88</v>
      </c>
      <c r="B15" s="122"/>
      <c r="C15" s="58">
        <v>49</v>
      </c>
      <c r="D15" s="59">
        <f>SUM(D8:D14)</f>
        <v>103146</v>
      </c>
      <c r="E15" s="59">
        <f>SUM(E8:E14)</f>
        <v>6110</v>
      </c>
      <c r="F15" s="59">
        <f>SUM(F8:F14)</f>
        <v>6335</v>
      </c>
      <c r="G15" s="59">
        <f>SUM(G8:G14)</f>
        <v>41632</v>
      </c>
      <c r="H15" s="83">
        <f>SUM(H8:H14)</f>
        <v>41505</v>
      </c>
      <c r="I15" s="62">
        <f t="shared" si="14"/>
        <v>141.60544217687075</v>
      </c>
      <c r="J15" s="60">
        <f>D15+G15</f>
        <v>144778</v>
      </c>
      <c r="K15" s="59">
        <f>SUM(K8:K14)</f>
        <v>14226</v>
      </c>
      <c r="L15" s="59">
        <f>SUM(L8:L14)</f>
        <v>679</v>
      </c>
      <c r="M15" s="60">
        <f>K15+L15</f>
        <v>14905</v>
      </c>
      <c r="N15" s="59">
        <f>SUM(N8:N14)</f>
        <v>0</v>
      </c>
      <c r="O15" s="59">
        <f>SUM(O8:O14)</f>
        <v>3435</v>
      </c>
      <c r="P15" s="59">
        <f>SUM(P8:P14)</f>
        <v>3533</v>
      </c>
      <c r="Q15" s="62">
        <f t="shared" si="15"/>
        <v>50.69727891156463</v>
      </c>
      <c r="R15" s="59">
        <f>SUM(R8:R14)</f>
        <v>129873</v>
      </c>
      <c r="S15" s="59">
        <f>SUM(S8:S14)</f>
        <v>6803</v>
      </c>
      <c r="T15" s="59">
        <f>SUM(T8:T14)</f>
        <v>7042</v>
      </c>
      <c r="U15" s="61">
        <f>IF((C15=0),"",(R15/C15))</f>
        <v>2650.469387755102</v>
      </c>
      <c r="V15" s="61">
        <f t="shared" si="16"/>
        <v>138.83673469387756</v>
      </c>
      <c r="W15" s="59">
        <f>SUM(W8:W14)</f>
        <v>96</v>
      </c>
      <c r="X15" s="59">
        <f>SUM(X8:X14)</f>
        <v>92</v>
      </c>
      <c r="Y15" s="62">
        <f>IF((W15=0),"",((X15/W15)*100))</f>
        <v>95.83333333333334</v>
      </c>
      <c r="Z15" s="59">
        <f>SUM(Z8:Z14)</f>
        <v>1</v>
      </c>
      <c r="AA15" s="62">
        <f>IF((W15=0),"",((Z15/W15)*100))</f>
        <v>1.0416666666666665</v>
      </c>
      <c r="AB15" s="59">
        <f>SUM(AB8:AB14)</f>
        <v>3</v>
      </c>
      <c r="AC15" s="62">
        <f>IF((W15=0),"",((AB15/W15)*100))</f>
        <v>3.125</v>
      </c>
      <c r="AD15" s="59">
        <f>SUM(AD8:AD14)</f>
        <v>0</v>
      </c>
      <c r="AE15" s="61">
        <f>IF((W15=0),"",((AD15/W15)*100))</f>
        <v>0</v>
      </c>
      <c r="AF15" s="61">
        <f>IF((G15=0),"",((M15/G15)*100))</f>
        <v>35.801787086856265</v>
      </c>
      <c r="AG15" s="61">
        <f>IF((J15=0),"",((M15/J15)*100))</f>
        <v>10.295072455759852</v>
      </c>
      <c r="AH15" s="61">
        <f>IF((M15=0),"",((((M15-Z15)-AB15)/M15)*100))</f>
        <v>99.97316336799732</v>
      </c>
      <c r="AI15" s="62">
        <f t="shared" si="17"/>
        <v>18.71728478093774</v>
      </c>
      <c r="AJ15" s="62">
        <f>IF((K15=0),"",((K15/M15)*100))</f>
        <v>95.44448171754445</v>
      </c>
      <c r="AK15" s="62">
        <f>IF((L15=0),"",((L15/M15)*100))</f>
        <v>4.5555182824555525</v>
      </c>
      <c r="AL15" s="62">
        <f>IF((M15=0),"",((P15/M15)*100))</f>
        <v>23.703455216370344</v>
      </c>
      <c r="AM15" s="62">
        <f t="shared" si="18"/>
        <v>492.44217687074826</v>
      </c>
    </row>
    <row r="16" spans="1:39" ht="19.5" customHeight="1">
      <c r="A16" s="84">
        <v>8</v>
      </c>
      <c r="B16" s="85" t="s">
        <v>34</v>
      </c>
      <c r="C16" s="54"/>
      <c r="D16" s="54"/>
      <c r="E16" s="54"/>
      <c r="F16" s="54"/>
      <c r="G16" s="54"/>
      <c r="H16" s="54"/>
      <c r="I16" s="57">
        <f t="shared" si="14"/>
      </c>
      <c r="J16" s="56">
        <f t="shared" si="0"/>
        <v>0</v>
      </c>
      <c r="K16" s="54"/>
      <c r="L16" s="54"/>
      <c r="M16" s="56">
        <f t="shared" si="1"/>
        <v>0</v>
      </c>
      <c r="N16" s="54"/>
      <c r="O16" s="54"/>
      <c r="P16" s="54"/>
      <c r="Q16" s="57">
        <f t="shared" si="15"/>
      </c>
      <c r="R16" s="54"/>
      <c r="S16" s="54"/>
      <c r="T16" s="54"/>
      <c r="U16" s="55">
        <f t="shared" si="2"/>
      </c>
      <c r="V16" s="55">
        <f t="shared" si="16"/>
      </c>
      <c r="W16" s="56">
        <f>X16+Z16+AB16+AD16</f>
        <v>0</v>
      </c>
      <c r="X16" s="54"/>
      <c r="Y16" s="55">
        <f t="shared" si="4"/>
      </c>
      <c r="Z16" s="54"/>
      <c r="AA16" s="55">
        <f t="shared" si="5"/>
      </c>
      <c r="AB16" s="54"/>
      <c r="AC16" s="55">
        <f t="shared" si="6"/>
      </c>
      <c r="AD16" s="54"/>
      <c r="AE16" s="55">
        <f t="shared" si="7"/>
      </c>
      <c r="AF16" s="55">
        <f t="shared" si="8"/>
      </c>
      <c r="AG16" s="55">
        <f t="shared" si="9"/>
      </c>
      <c r="AH16" s="55">
        <f t="shared" si="10"/>
      </c>
      <c r="AI16" s="57">
        <f t="shared" si="17"/>
      </c>
      <c r="AJ16" s="57">
        <f t="shared" si="11"/>
      </c>
      <c r="AK16" s="57">
        <f t="shared" si="12"/>
      </c>
      <c r="AL16" s="57">
        <f t="shared" si="13"/>
      </c>
      <c r="AM16" s="57">
        <f t="shared" si="18"/>
      </c>
    </row>
    <row r="17" spans="1:39" ht="19.5" customHeight="1">
      <c r="A17" s="84">
        <v>9</v>
      </c>
      <c r="B17" s="85" t="s">
        <v>35</v>
      </c>
      <c r="C17" s="54"/>
      <c r="D17" s="54"/>
      <c r="E17" s="54"/>
      <c r="F17" s="54"/>
      <c r="G17" s="54"/>
      <c r="H17" s="54"/>
      <c r="I17" s="57">
        <f t="shared" si="14"/>
      </c>
      <c r="J17" s="56">
        <f t="shared" si="0"/>
        <v>0</v>
      </c>
      <c r="K17" s="54"/>
      <c r="L17" s="54"/>
      <c r="M17" s="56">
        <f t="shared" si="1"/>
        <v>0</v>
      </c>
      <c r="N17" s="54"/>
      <c r="O17" s="54"/>
      <c r="P17" s="54"/>
      <c r="Q17" s="57">
        <f t="shared" si="15"/>
      </c>
      <c r="R17" s="54"/>
      <c r="S17" s="54"/>
      <c r="T17" s="54"/>
      <c r="U17" s="55">
        <f t="shared" si="2"/>
      </c>
      <c r="V17" s="55">
        <f t="shared" si="16"/>
      </c>
      <c r="W17" s="56">
        <f>X17+Z17+AB17+AD17</f>
        <v>0</v>
      </c>
      <c r="X17" s="54"/>
      <c r="Y17" s="55">
        <f t="shared" si="4"/>
      </c>
      <c r="Z17" s="54"/>
      <c r="AA17" s="55">
        <f t="shared" si="5"/>
      </c>
      <c r="AB17" s="54"/>
      <c r="AC17" s="55">
        <f t="shared" si="6"/>
      </c>
      <c r="AD17" s="54"/>
      <c r="AE17" s="55">
        <f t="shared" si="7"/>
      </c>
      <c r="AF17" s="55">
        <f t="shared" si="8"/>
      </c>
      <c r="AG17" s="55">
        <f t="shared" si="9"/>
      </c>
      <c r="AH17" s="55">
        <f t="shared" si="10"/>
      </c>
      <c r="AI17" s="57">
        <f t="shared" si="17"/>
      </c>
      <c r="AJ17" s="57">
        <f t="shared" si="11"/>
      </c>
      <c r="AK17" s="57">
        <f t="shared" si="12"/>
      </c>
      <c r="AL17" s="57">
        <f t="shared" si="13"/>
      </c>
      <c r="AM17" s="57">
        <f t="shared" si="18"/>
      </c>
    </row>
    <row r="18" spans="1:39" ht="19.5" customHeight="1">
      <c r="A18" s="84">
        <v>10</v>
      </c>
      <c r="B18" s="85" t="s">
        <v>36</v>
      </c>
      <c r="C18" s="54">
        <v>2</v>
      </c>
      <c r="D18" s="54"/>
      <c r="E18" s="54"/>
      <c r="F18" s="54"/>
      <c r="G18" s="54">
        <v>2</v>
      </c>
      <c r="H18" s="54">
        <v>2</v>
      </c>
      <c r="I18" s="57">
        <f t="shared" si="14"/>
        <v>0.16666666666666666</v>
      </c>
      <c r="J18" s="56">
        <f>D18+G18</f>
        <v>2</v>
      </c>
      <c r="K18" s="54">
        <v>2</v>
      </c>
      <c r="L18" s="54"/>
      <c r="M18" s="56">
        <f>K18+L18</f>
        <v>2</v>
      </c>
      <c r="N18" s="54"/>
      <c r="O18" s="54"/>
      <c r="P18" s="54"/>
      <c r="Q18" s="57">
        <f t="shared" si="15"/>
        <v>0.16666666666666666</v>
      </c>
      <c r="R18" s="54"/>
      <c r="S18" s="54"/>
      <c r="T18" s="54"/>
      <c r="U18" s="55">
        <f>IF((C18=0),"",(R18/C18))</f>
        <v>0</v>
      </c>
      <c r="V18" s="55">
        <f>IF((C18=0),"",(S18/C18))</f>
        <v>0</v>
      </c>
      <c r="W18" s="56">
        <f>X18+Z18+AB18+AD18</f>
        <v>0</v>
      </c>
      <c r="X18" s="54"/>
      <c r="Y18" s="55">
        <f>IF((W18=0),"",((X18/W18)*100))</f>
      </c>
      <c r="Z18" s="54"/>
      <c r="AA18" s="55">
        <f>IF((W18=0),"",((Z18/W18)*100))</f>
      </c>
      <c r="AB18" s="54"/>
      <c r="AC18" s="55">
        <f>IF((W18=0),"",((AB18/W18)*100))</f>
      </c>
      <c r="AD18" s="54"/>
      <c r="AE18" s="55">
        <f>IF((W18=0),"",((AD18/W18)*100))</f>
      </c>
      <c r="AF18" s="55">
        <f>IF((G18=0),"",((M18/G18)*100))</f>
        <v>100</v>
      </c>
      <c r="AG18" s="55">
        <f>IF((J18=0),"",((M18/J18)*100))</f>
        <v>100</v>
      </c>
      <c r="AH18" s="55">
        <f>IF((M18=0),"",((((M18-Z18)-AB18)/M18)*100))</f>
        <v>100</v>
      </c>
      <c r="AI18" s="57">
        <f t="shared" si="17"/>
        <v>0</v>
      </c>
      <c r="AJ18" s="57">
        <f>IF((K18=0),"",((K18/M18)*100))</f>
        <v>100</v>
      </c>
      <c r="AK18" s="57">
        <f>IF((L18=0),"",((L18/M18)*100))</f>
      </c>
      <c r="AL18" s="57">
        <f>IF((M18=0),"",((P18/M18)*100))</f>
        <v>0</v>
      </c>
      <c r="AM18" s="57">
        <f t="shared" si="18"/>
        <v>0.16666666666666666</v>
      </c>
    </row>
    <row r="19" spans="1:39" ht="19.5" customHeight="1">
      <c r="A19" s="84">
        <v>11</v>
      </c>
      <c r="B19" s="87" t="s">
        <v>57</v>
      </c>
      <c r="C19" s="54">
        <v>1</v>
      </c>
      <c r="D19" s="54"/>
      <c r="E19" s="54"/>
      <c r="F19" s="54"/>
      <c r="G19" s="54">
        <v>1</v>
      </c>
      <c r="H19" s="54">
        <v>1</v>
      </c>
      <c r="I19" s="57">
        <f t="shared" si="14"/>
        <v>0.16666666666666666</v>
      </c>
      <c r="J19" s="56">
        <f t="shared" si="0"/>
        <v>1</v>
      </c>
      <c r="K19" s="54"/>
      <c r="L19" s="54">
        <v>1</v>
      </c>
      <c r="M19" s="56">
        <f t="shared" si="1"/>
        <v>1</v>
      </c>
      <c r="N19" s="54"/>
      <c r="O19" s="54"/>
      <c r="P19" s="54"/>
      <c r="Q19" s="57">
        <f t="shared" si="15"/>
        <v>0.16666666666666666</v>
      </c>
      <c r="R19" s="54"/>
      <c r="S19" s="54"/>
      <c r="T19" s="54"/>
      <c r="U19" s="55">
        <f t="shared" si="2"/>
        <v>0</v>
      </c>
      <c r="V19" s="55">
        <f t="shared" si="16"/>
        <v>0</v>
      </c>
      <c r="W19" s="56">
        <f>X19+Z19+AB19+AD19</f>
        <v>0</v>
      </c>
      <c r="X19" s="54"/>
      <c r="Y19" s="55">
        <f t="shared" si="4"/>
      </c>
      <c r="Z19" s="54"/>
      <c r="AA19" s="55">
        <f t="shared" si="5"/>
      </c>
      <c r="AB19" s="54"/>
      <c r="AC19" s="55">
        <f t="shared" si="6"/>
      </c>
      <c r="AD19" s="54"/>
      <c r="AE19" s="55">
        <f t="shared" si="7"/>
      </c>
      <c r="AF19" s="55">
        <f t="shared" si="8"/>
        <v>100</v>
      </c>
      <c r="AG19" s="55">
        <f t="shared" si="9"/>
        <v>100</v>
      </c>
      <c r="AH19" s="55">
        <f t="shared" si="10"/>
        <v>100</v>
      </c>
      <c r="AI19" s="57">
        <f t="shared" si="17"/>
        <v>0</v>
      </c>
      <c r="AJ19" s="57">
        <f t="shared" si="11"/>
      </c>
      <c r="AK19" s="57">
        <f t="shared" si="12"/>
        <v>100</v>
      </c>
      <c r="AL19" s="57">
        <f t="shared" si="13"/>
        <v>0</v>
      </c>
      <c r="AM19" s="57">
        <f t="shared" si="18"/>
        <v>0.16666666666666666</v>
      </c>
    </row>
    <row r="20" spans="1:39" ht="19.5" customHeight="1">
      <c r="A20" s="84">
        <v>12</v>
      </c>
      <c r="B20" s="85" t="s">
        <v>58</v>
      </c>
      <c r="C20" s="54">
        <v>4</v>
      </c>
      <c r="D20" s="54">
        <v>1</v>
      </c>
      <c r="E20" s="54"/>
      <c r="F20" s="54"/>
      <c r="G20" s="54">
        <v>5</v>
      </c>
      <c r="H20" s="54">
        <v>5</v>
      </c>
      <c r="I20" s="57">
        <f t="shared" si="14"/>
        <v>0.20833333333333334</v>
      </c>
      <c r="J20" s="56">
        <f>D20+G20</f>
        <v>6</v>
      </c>
      <c r="K20" s="54">
        <v>2</v>
      </c>
      <c r="L20" s="54"/>
      <c r="M20" s="56">
        <f>K20+L20</f>
        <v>2</v>
      </c>
      <c r="N20" s="54"/>
      <c r="O20" s="54"/>
      <c r="P20" s="54"/>
      <c r="Q20" s="57">
        <f t="shared" si="15"/>
        <v>0.08333333333333333</v>
      </c>
      <c r="R20" s="54">
        <v>4</v>
      </c>
      <c r="S20" s="54"/>
      <c r="T20" s="54"/>
      <c r="U20" s="55">
        <f>IF((C20=0),"",(R20/C20))</f>
        <v>1</v>
      </c>
      <c r="V20" s="55">
        <f>IF((C20=0),"",(S20/C20))</f>
        <v>0</v>
      </c>
      <c r="W20" s="56">
        <f>X20+Z20+AB20+AD20</f>
        <v>0</v>
      </c>
      <c r="X20" s="54"/>
      <c r="Y20" s="55">
        <f>IF((W20=0),"",((X20/W20)*100))</f>
      </c>
      <c r="Z20" s="54"/>
      <c r="AA20" s="55">
        <f>IF((W20=0),"",((Z20/W20)*100))</f>
      </c>
      <c r="AB20" s="54"/>
      <c r="AC20" s="55">
        <f>IF((W20=0),"",((AB20/W20)*100))</f>
      </c>
      <c r="AD20" s="54"/>
      <c r="AE20" s="55">
        <f>IF((W20=0),"",((AD20/W20)*100))</f>
      </c>
      <c r="AF20" s="55">
        <f>IF((G20=0),"",((M20/G20)*100))</f>
        <v>40</v>
      </c>
      <c r="AG20" s="55">
        <f>IF((J20=0),"",((M20/J20)*100))</f>
        <v>33.33333333333333</v>
      </c>
      <c r="AH20" s="55">
        <f>IF((M20=0),"",((((M20-Z20)-AB20)/M20)*100))</f>
        <v>100</v>
      </c>
      <c r="AI20" s="57">
        <f t="shared" si="17"/>
        <v>4.8</v>
      </c>
      <c r="AJ20" s="57">
        <f>IF((K20=0),"",((K20/M20)*100))</f>
        <v>100</v>
      </c>
      <c r="AK20" s="57">
        <f>IF((L20=0),"",((L20/M20)*100))</f>
      </c>
      <c r="AL20" s="57">
        <f>IF((M20=0),"",((P20/M20)*100))</f>
        <v>0</v>
      </c>
      <c r="AM20" s="57">
        <f t="shared" si="18"/>
        <v>0.25</v>
      </c>
    </row>
    <row r="21" spans="1:39" s="3" customFormat="1" ht="19.5" customHeight="1">
      <c r="A21" s="123" t="s">
        <v>89</v>
      </c>
      <c r="B21" s="124"/>
      <c r="C21" s="63">
        <v>4</v>
      </c>
      <c r="D21" s="59">
        <f>SUM(D16:D20)</f>
        <v>1</v>
      </c>
      <c r="E21" s="59">
        <f>SUM(E16:E20)</f>
        <v>0</v>
      </c>
      <c r="F21" s="59">
        <f>SUM(F16:F20)</f>
        <v>0</v>
      </c>
      <c r="G21" s="59">
        <f>SUM(G16:G20)</f>
        <v>8</v>
      </c>
      <c r="H21" s="59">
        <f>SUM(H16:H20)</f>
        <v>8</v>
      </c>
      <c r="I21" s="62">
        <f t="shared" si="14"/>
        <v>0.3333333333333333</v>
      </c>
      <c r="J21" s="60">
        <f t="shared" si="0"/>
        <v>9</v>
      </c>
      <c r="K21" s="59">
        <f>SUM(K16:K20)</f>
        <v>4</v>
      </c>
      <c r="L21" s="59">
        <f>SUM(L16:L20)</f>
        <v>1</v>
      </c>
      <c r="M21" s="60">
        <f t="shared" si="1"/>
        <v>5</v>
      </c>
      <c r="N21" s="59">
        <f>SUM(N16:N20)</f>
        <v>0</v>
      </c>
      <c r="O21" s="59">
        <f>SUM(O16:O20)</f>
        <v>0</v>
      </c>
      <c r="P21" s="59">
        <f>SUM(P16:P20)</f>
        <v>0</v>
      </c>
      <c r="Q21" s="62">
        <f t="shared" si="15"/>
        <v>0.20833333333333334</v>
      </c>
      <c r="R21" s="59">
        <f>SUM(R16:R20)</f>
        <v>4</v>
      </c>
      <c r="S21" s="59">
        <f>SUM(S16:S20)</f>
        <v>0</v>
      </c>
      <c r="T21" s="59">
        <f>SUM(T16:T20)</f>
        <v>0</v>
      </c>
      <c r="U21" s="61">
        <f t="shared" si="2"/>
        <v>1</v>
      </c>
      <c r="V21" s="61">
        <f t="shared" si="16"/>
        <v>0</v>
      </c>
      <c r="W21" s="59">
        <f>SUM(W16:W20)</f>
        <v>0</v>
      </c>
      <c r="X21" s="59">
        <f>SUM(X16:X20)</f>
        <v>0</v>
      </c>
      <c r="Y21" s="62">
        <f t="shared" si="4"/>
      </c>
      <c r="Z21" s="59">
        <f>SUM(Z16:Z20)</f>
        <v>0</v>
      </c>
      <c r="AA21" s="62">
        <f t="shared" si="5"/>
      </c>
      <c r="AB21" s="59">
        <f>SUM(AB16:AB20)</f>
        <v>0</v>
      </c>
      <c r="AC21" s="62">
        <f t="shared" si="6"/>
      </c>
      <c r="AD21" s="59">
        <f>SUM(AD16:AD20)</f>
        <v>0</v>
      </c>
      <c r="AE21" s="61">
        <f t="shared" si="7"/>
      </c>
      <c r="AF21" s="61">
        <f t="shared" si="8"/>
        <v>62.5</v>
      </c>
      <c r="AG21" s="61">
        <f t="shared" si="9"/>
        <v>55.55555555555556</v>
      </c>
      <c r="AH21" s="64">
        <f t="shared" si="10"/>
        <v>100</v>
      </c>
      <c r="AI21" s="62">
        <f t="shared" si="17"/>
        <v>3</v>
      </c>
      <c r="AJ21" s="62">
        <f t="shared" si="11"/>
        <v>80</v>
      </c>
      <c r="AK21" s="62">
        <f t="shared" si="12"/>
        <v>20</v>
      </c>
      <c r="AL21" s="62">
        <f t="shared" si="13"/>
        <v>0</v>
      </c>
      <c r="AM21" s="62">
        <f t="shared" si="18"/>
        <v>0.375</v>
      </c>
    </row>
    <row r="22" spans="1:39" s="3" customFormat="1" ht="19.5" customHeight="1">
      <c r="A22" s="84">
        <v>13</v>
      </c>
      <c r="B22" s="91" t="s">
        <v>59</v>
      </c>
      <c r="C22" s="54">
        <v>2</v>
      </c>
      <c r="D22" s="54">
        <v>53</v>
      </c>
      <c r="E22" s="54"/>
      <c r="F22" s="54"/>
      <c r="G22" s="54">
        <v>293</v>
      </c>
      <c r="H22" s="54">
        <v>293</v>
      </c>
      <c r="I22" s="57">
        <f t="shared" si="14"/>
        <v>24.416666666666668</v>
      </c>
      <c r="J22" s="56">
        <f>D22+G22</f>
        <v>346</v>
      </c>
      <c r="K22" s="54">
        <v>235</v>
      </c>
      <c r="L22" s="54">
        <v>28</v>
      </c>
      <c r="M22" s="56">
        <f>K22+L22</f>
        <v>263</v>
      </c>
      <c r="N22" s="54"/>
      <c r="O22" s="54"/>
      <c r="P22" s="54"/>
      <c r="Q22" s="57">
        <f t="shared" si="15"/>
        <v>21.916666666666668</v>
      </c>
      <c r="R22" s="54">
        <v>83</v>
      </c>
      <c r="S22" s="54"/>
      <c r="T22" s="54"/>
      <c r="U22" s="55">
        <f>IF((C22=0),"",(R22/C22))</f>
        <v>41.5</v>
      </c>
      <c r="V22" s="55">
        <f>IF((C22=0),"",(S22/C22))</f>
        <v>0</v>
      </c>
      <c r="W22" s="56">
        <f>X22+Z22+AB22+AD22</f>
        <v>82</v>
      </c>
      <c r="X22" s="54">
        <v>79</v>
      </c>
      <c r="Y22" s="55">
        <f>IF((W22=0),"",((X22/W22)*100))</f>
        <v>96.34146341463415</v>
      </c>
      <c r="Z22" s="54"/>
      <c r="AA22" s="55">
        <f>IF((W22=0),"",((Z22/W22)*100))</f>
        <v>0</v>
      </c>
      <c r="AB22" s="54">
        <v>3</v>
      </c>
      <c r="AC22" s="55">
        <f>IF((W22=0),"",((AB22/W22)*100))</f>
        <v>3.6585365853658534</v>
      </c>
      <c r="AD22" s="54"/>
      <c r="AE22" s="55">
        <f>IF((W22=0),"",((AD22/W22)*100))</f>
        <v>0</v>
      </c>
      <c r="AF22" s="55">
        <f>IF((G22=0),"",((M22/G22)*100))</f>
        <v>89.76109215017065</v>
      </c>
      <c r="AG22" s="55">
        <f>IF((J22=0),"",((M22/J22)*100))</f>
        <v>76.01156069364163</v>
      </c>
      <c r="AH22" s="55">
        <f>IF((M22=0),"",((((M22-Z22)-AB22)/M22)*100))</f>
        <v>98.85931558935361</v>
      </c>
      <c r="AI22" s="57">
        <f t="shared" si="17"/>
        <v>1.6996587030716723</v>
      </c>
      <c r="AJ22" s="57">
        <f>IF((K22=0),"",((K22/M22)*100))</f>
        <v>89.35361216730038</v>
      </c>
      <c r="AK22" s="57">
        <f>IF((L22=0),"",((L22/M22)*100))</f>
        <v>10.646387832699618</v>
      </c>
      <c r="AL22" s="57">
        <f>IF((M22=0),"",((P22/M22)*100))</f>
        <v>0</v>
      </c>
      <c r="AM22" s="57">
        <f t="shared" si="18"/>
        <v>28.833333333333332</v>
      </c>
    </row>
    <row r="23" spans="1:39" ht="19.5" customHeight="1">
      <c r="A23" s="120" t="s">
        <v>90</v>
      </c>
      <c r="B23" s="121"/>
      <c r="C23" s="63">
        <v>49</v>
      </c>
      <c r="D23" s="65">
        <f>SUM(D15,D21,D22)</f>
        <v>103200</v>
      </c>
      <c r="E23" s="65">
        <f>SUM(E15,E21,E22)</f>
        <v>6110</v>
      </c>
      <c r="F23" s="65">
        <f>SUM(F15,F21,F22)</f>
        <v>6335</v>
      </c>
      <c r="G23" s="65">
        <f>SUM(G15,G21,G22)</f>
        <v>41933</v>
      </c>
      <c r="H23" s="65">
        <f>SUM(H15,H21,H22)</f>
        <v>41806</v>
      </c>
      <c r="I23" s="68">
        <f t="shared" si="14"/>
        <v>142.62925170068027</v>
      </c>
      <c r="J23" s="66">
        <f>D23+G23</f>
        <v>145133</v>
      </c>
      <c r="K23" s="65">
        <f>SUM(K15,K21,K22)</f>
        <v>14465</v>
      </c>
      <c r="L23" s="65">
        <f>SUM(L15,L21,L22)</f>
        <v>708</v>
      </c>
      <c r="M23" s="66">
        <f>K23+L23</f>
        <v>15173</v>
      </c>
      <c r="N23" s="65">
        <f>SUM(N15,N21,N22)</f>
        <v>0</v>
      </c>
      <c r="O23" s="65">
        <f>SUM(O15,O21,O22)</f>
        <v>3435</v>
      </c>
      <c r="P23" s="65">
        <f>SUM(P15,P21,P22)</f>
        <v>3533</v>
      </c>
      <c r="Q23" s="68">
        <f t="shared" si="15"/>
        <v>51.60884353741497</v>
      </c>
      <c r="R23" s="65">
        <f>SUM(R15,R21,R22)</f>
        <v>129960</v>
      </c>
      <c r="S23" s="65">
        <f>SUM(S15,S21,S22)</f>
        <v>6803</v>
      </c>
      <c r="T23" s="65">
        <f>SUM(T15,T21,T22)</f>
        <v>7042</v>
      </c>
      <c r="U23" s="67">
        <f>IF((C23=0),"",(R23/C23))</f>
        <v>2652.2448979591836</v>
      </c>
      <c r="V23" s="67">
        <f>IF((C23=0),"",(S23/C23))</f>
        <v>138.83673469387756</v>
      </c>
      <c r="W23" s="65">
        <f>SUM(W15,W21,W22)</f>
        <v>178</v>
      </c>
      <c r="X23" s="65">
        <f>SUM(X15,X21,X22)</f>
        <v>171</v>
      </c>
      <c r="Y23" s="68">
        <f>IF((W23=0),"",((X23/W23)*100))</f>
        <v>96.06741573033707</v>
      </c>
      <c r="Z23" s="65">
        <f>SUM(Z15,Z21,Z22)</f>
        <v>1</v>
      </c>
      <c r="AA23" s="68">
        <f>IF((W23=0),"",((Z23/W23)*100))</f>
        <v>0.5617977528089888</v>
      </c>
      <c r="AB23" s="65">
        <f>SUM(AB15,AB21,AB22)</f>
        <v>6</v>
      </c>
      <c r="AC23" s="68">
        <f>IF((W23=0),"",((AB23/W23)*100))</f>
        <v>3.3707865168539324</v>
      </c>
      <c r="AD23" s="65">
        <f>SUM(AD15,AD21,AD22)</f>
        <v>0</v>
      </c>
      <c r="AE23" s="67">
        <f>IF((W23=0),"",((AD23/W23)*100))</f>
        <v>0</v>
      </c>
      <c r="AF23" s="67">
        <f>IF((G23=0),"",((M23/G23)*100))</f>
        <v>36.183912431736346</v>
      </c>
      <c r="AG23" s="67">
        <f>IF((J23=0),"",((M23/J23)*100))</f>
        <v>10.454548586468963</v>
      </c>
      <c r="AH23" s="67">
        <f>IF((M23=0),"",((((M23-Z23)-AB23)/M23)*100))</f>
        <v>99.95386541883609</v>
      </c>
      <c r="AI23" s="68">
        <f t="shared" si="17"/>
        <v>18.595378341640235</v>
      </c>
      <c r="AJ23" s="68">
        <f>IF((K23=0),"",((K23/M23)*100))</f>
        <v>95.33381664799315</v>
      </c>
      <c r="AK23" s="68">
        <f>IF((L23=0),"",((L23/M23)*100))</f>
        <v>4.666183352006854</v>
      </c>
      <c r="AL23" s="68">
        <f>IF((M23=0),"",((P23/M23)*100))</f>
        <v>23.284782178870362</v>
      </c>
      <c r="AM23" s="68">
        <f t="shared" si="18"/>
        <v>493.64965986394554</v>
      </c>
    </row>
    <row r="25" spans="34:39" ht="12.75" customHeight="1">
      <c r="AH25" s="74"/>
      <c r="AI25" s="74"/>
      <c r="AJ25" s="74" t="s">
        <v>61</v>
      </c>
      <c r="AK25" s="74"/>
      <c r="AL25" s="74"/>
      <c r="AM25" s="74"/>
    </row>
    <row r="26" spans="34:39" ht="12.75" customHeight="1">
      <c r="AH26" s="74" t="s">
        <v>63</v>
      </c>
      <c r="AI26" s="74"/>
      <c r="AJ26" s="126" t="s">
        <v>92</v>
      </c>
      <c r="AK26" s="126"/>
      <c r="AL26" s="126"/>
      <c r="AM26" s="126"/>
    </row>
    <row r="29" ht="12.75" customHeight="1">
      <c r="AJ29" s="2" t="s">
        <v>62</v>
      </c>
    </row>
  </sheetData>
  <sheetProtection/>
  <mergeCells count="47">
    <mergeCell ref="AK6:AK7"/>
    <mergeCell ref="P6:P7"/>
    <mergeCell ref="R6:R7"/>
    <mergeCell ref="M6:M7"/>
    <mergeCell ref="AJ26:AM26"/>
    <mergeCell ref="AL6:AL7"/>
    <mergeCell ref="AD6:AE6"/>
    <mergeCell ref="AF6:AF7"/>
    <mergeCell ref="AG6:AG7"/>
    <mergeCell ref="AI6:AI7"/>
    <mergeCell ref="AJ6:AJ7"/>
    <mergeCell ref="A23:B23"/>
    <mergeCell ref="A15:B15"/>
    <mergeCell ref="A21:B21"/>
    <mergeCell ref="K6:K7"/>
    <mergeCell ref="E6:E7"/>
    <mergeCell ref="C5:C7"/>
    <mergeCell ref="N6:N7"/>
    <mergeCell ref="R5:T5"/>
    <mergeCell ref="U5:V5"/>
    <mergeCell ref="W5:AH5"/>
    <mergeCell ref="V6:V7"/>
    <mergeCell ref="W6:W7"/>
    <mergeCell ref="X6:Y6"/>
    <mergeCell ref="Z6:AA6"/>
    <mergeCell ref="T6:T7"/>
    <mergeCell ref="AB6:AC6"/>
    <mergeCell ref="U6:U7"/>
    <mergeCell ref="L6:L7"/>
    <mergeCell ref="H6:H7"/>
    <mergeCell ref="A2:G2"/>
    <mergeCell ref="A4:K4"/>
    <mergeCell ref="A5:A7"/>
    <mergeCell ref="B5:B7"/>
    <mergeCell ref="K5:P5"/>
    <mergeCell ref="G6:G7"/>
    <mergeCell ref="F6:F7"/>
    <mergeCell ref="Q5:Q7"/>
    <mergeCell ref="A3:T3"/>
    <mergeCell ref="O6:O7"/>
    <mergeCell ref="S6:S7"/>
    <mergeCell ref="AM6:AM7"/>
    <mergeCell ref="D5:F5"/>
    <mergeCell ref="G5:H5"/>
    <mergeCell ref="I5:I7"/>
    <mergeCell ref="J5:J7"/>
    <mergeCell ref="D6:D7"/>
  </mergeCells>
  <conditionalFormatting sqref="R8:R23 M8:M23 J8:J23">
    <cfRule type="expression" priority="2" dxfId="12" stopIfTrue="1">
      <formula>OR($J8&lt;($M8+$R8),$J8&gt;($M8+$R8))</formula>
    </cfRule>
  </conditionalFormatting>
  <conditionalFormatting sqref="C8:C23">
    <cfRule type="cellIs" priority="1" dxfId="12" operator="equal" stopIfTrue="1">
      <formula>$AA$1</formula>
    </cfRule>
  </conditionalFormatting>
  <conditionalFormatting sqref="J8:J23 C8:C23">
    <cfRule type="expression" priority="3" dxfId="2" stopIfTrue="1">
      <formula>$C8&gt;$J8</formula>
    </cfRule>
  </conditionalFormatting>
  <conditionalFormatting sqref="E8:F21">
    <cfRule type="expression" priority="4" dxfId="2" stopIfTrue="1">
      <formula>$E8&gt;$F8</formula>
    </cfRule>
  </conditionalFormatting>
  <conditionalFormatting sqref="O8:P21">
    <cfRule type="expression" priority="5" dxfId="2" stopIfTrue="1">
      <formula>$O8&gt;$P8</formula>
    </cfRule>
  </conditionalFormatting>
  <conditionalFormatting sqref="S8:T21">
    <cfRule type="expression" priority="6" dxfId="2" stopIfTrue="1">
      <formula>$S8&gt;$T8</formula>
    </cfRule>
  </conditionalFormatting>
  <conditionalFormatting sqref="C15">
    <cfRule type="expression" priority="7" dxfId="1" stopIfTrue="1">
      <formula>OR(SUM(C15)&lt;MAX(C8:C14),SUM(C15)&gt;SUM(C8:C14))</formula>
    </cfRule>
  </conditionalFormatting>
  <conditionalFormatting sqref="C21">
    <cfRule type="expression" priority="12" dxfId="1" stopIfTrue="1">
      <formula>OR(SUM(C21)&lt;MAX(C16:C20),SUM(C21)&gt;SUM(C16:C20))</formula>
    </cfRule>
  </conditionalFormatting>
  <conditionalFormatting sqref="C23">
    <cfRule type="expression" priority="30" dxfId="1" stopIfTrue="1">
      <formula>OR(SUM(C23)&lt;MAX(C15,C21,C22),SUM(C23)&gt;SUM(C15,C21,C22))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D16:H19 AD16:AD20 C20:H20 K16:L20 N16:P20 R16:T20 X16:X20 Z16:Z20 AB16:AB20 AB22 C23 C21 AD22 C22:H22 K22:L22 N22:P22 R22:T22 X22 Z22 C8:C19 AD8:AD14 AB8:AB14 Z8:Z14 X8:X14 R8:T14 N8:P14 K8:L14 D8:H14">
      <formula1>0</formula1>
      <formula2>99999999</formula2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9" scale="50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9"/>
  <sheetViews>
    <sheetView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8.28125" style="0" customWidth="1"/>
    <col min="2" max="2" width="15.00390625" style="0" customWidth="1"/>
    <col min="3" max="3" width="10.00390625" style="0" customWidth="1"/>
    <col min="4" max="4" width="16.7109375" style="0" customWidth="1"/>
    <col min="5" max="5" width="16.00390625" style="0" customWidth="1"/>
    <col min="6" max="10" width="15.7109375" style="0" customWidth="1"/>
    <col min="11" max="11" width="5.7109375" style="0" customWidth="1"/>
    <col min="12" max="13" width="10.7109375" style="0" customWidth="1"/>
    <col min="14" max="14" width="10.421875" style="0" customWidth="1"/>
  </cols>
  <sheetData>
    <row r="1" spans="1:14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5"/>
    </row>
    <row r="2" spans="1:14" ht="29.25" customHeight="1">
      <c r="A2" s="134" t="str">
        <f>US!A2</f>
        <v>Управни суд у Београду</v>
      </c>
      <c r="B2" s="134"/>
      <c r="C2" s="134"/>
      <c r="D2" s="134"/>
      <c r="E2" s="134"/>
      <c r="F2" s="135"/>
      <c r="G2" s="135"/>
      <c r="H2" s="135"/>
      <c r="I2" s="135"/>
      <c r="J2" s="135"/>
      <c r="K2" s="10"/>
      <c r="L2" s="11"/>
      <c r="M2" s="11"/>
      <c r="N2" s="12"/>
    </row>
    <row r="3" spans="1:14" ht="39" customHeight="1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6"/>
      <c r="K3" s="13"/>
      <c r="L3" s="14"/>
      <c r="M3" s="14"/>
      <c r="N3" s="12"/>
    </row>
    <row r="4" spans="1:14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5"/>
    </row>
    <row r="5" spans="1:14" ht="11.25" customHeight="1">
      <c r="A5" s="137" t="s">
        <v>5</v>
      </c>
      <c r="B5" s="137" t="s">
        <v>30</v>
      </c>
      <c r="C5" s="137" t="s">
        <v>47</v>
      </c>
      <c r="D5" s="137" t="s">
        <v>83</v>
      </c>
      <c r="E5" s="137" t="s">
        <v>84</v>
      </c>
      <c r="F5" s="140" t="s">
        <v>48</v>
      </c>
      <c r="G5" s="141"/>
      <c r="H5" s="142"/>
      <c r="I5" s="137" t="s">
        <v>49</v>
      </c>
      <c r="J5" s="137" t="s">
        <v>50</v>
      </c>
      <c r="K5" s="4"/>
      <c r="L5" s="146" t="s">
        <v>76</v>
      </c>
      <c r="M5" s="147"/>
      <c r="N5" s="147"/>
    </row>
    <row r="6" spans="1:14" ht="27" customHeight="1">
      <c r="A6" s="138"/>
      <c r="B6" s="138"/>
      <c r="C6" s="139"/>
      <c r="D6" s="139"/>
      <c r="E6" s="139"/>
      <c r="F6" s="143"/>
      <c r="G6" s="144"/>
      <c r="H6" s="145"/>
      <c r="I6" s="139"/>
      <c r="J6" s="139"/>
      <c r="K6" s="5"/>
      <c r="L6" s="147"/>
      <c r="M6" s="147"/>
      <c r="N6" s="147"/>
    </row>
    <row r="7" spans="1:14" ht="49.5" customHeight="1">
      <c r="A7" s="138"/>
      <c r="B7" s="138"/>
      <c r="C7" s="138"/>
      <c r="D7" s="138"/>
      <c r="E7" s="138"/>
      <c r="F7" s="75" t="s">
        <v>51</v>
      </c>
      <c r="G7" s="75" t="s">
        <v>52</v>
      </c>
      <c r="H7" s="75" t="s">
        <v>53</v>
      </c>
      <c r="I7" s="138"/>
      <c r="J7" s="138"/>
      <c r="K7" s="6"/>
      <c r="L7" s="9" t="s">
        <v>56</v>
      </c>
      <c r="M7" s="9" t="s">
        <v>55</v>
      </c>
      <c r="N7" s="20" t="s">
        <v>54</v>
      </c>
    </row>
    <row r="8" spans="1:14" ht="19.5" customHeight="1">
      <c r="A8" s="88">
        <v>1</v>
      </c>
      <c r="B8" s="89" t="s">
        <v>33</v>
      </c>
      <c r="C8" s="53">
        <f>IF(US!C8="","",US!C8)</f>
        <v>49</v>
      </c>
      <c r="D8" s="53">
        <f>US!J8</f>
        <v>107287</v>
      </c>
      <c r="E8" s="53">
        <f>SUM(F8:H8)</f>
        <v>6947</v>
      </c>
      <c r="F8" s="51">
        <v>6506</v>
      </c>
      <c r="G8" s="51">
        <v>440</v>
      </c>
      <c r="H8" s="51">
        <v>1</v>
      </c>
      <c r="I8" s="52">
        <f>IF(D8=0,"",(E8/D8*100))</f>
        <v>6.475155424235927</v>
      </c>
      <c r="J8" s="52">
        <f>IF(AND(ISNUMBER(C8),C8&lt;&gt;0),(E8/C8),"")</f>
        <v>141.77551020408163</v>
      </c>
      <c r="K8" s="7"/>
      <c r="L8" s="24">
        <f>E8</f>
        <v>6947</v>
      </c>
      <c r="M8" s="25">
        <f>US!T8</f>
        <v>6947</v>
      </c>
      <c r="N8" s="21">
        <f>E8-US!T8</f>
        <v>0</v>
      </c>
    </row>
    <row r="9" spans="1:14" ht="19.5" customHeight="1">
      <c r="A9" s="88">
        <v>2</v>
      </c>
      <c r="B9" s="89" t="s">
        <v>37</v>
      </c>
      <c r="C9" s="53">
        <f>IF(US!C9="","",US!C9)</f>
        <v>36</v>
      </c>
      <c r="D9" s="53">
        <f>US!J9</f>
        <v>165</v>
      </c>
      <c r="E9" s="53">
        <f aca="true" t="shared" si="0" ref="E9:E23">SUM(F9:H9)</f>
        <v>8</v>
      </c>
      <c r="F9" s="51">
        <v>7</v>
      </c>
      <c r="G9" s="51">
        <v>1</v>
      </c>
      <c r="H9" s="51"/>
      <c r="I9" s="52">
        <f aca="true" t="shared" si="1" ref="I9:I21">IF(D9=0,"",(E9/D9*100))</f>
        <v>4.848484848484849</v>
      </c>
      <c r="J9" s="52">
        <f aca="true" t="shared" si="2" ref="J9:J23">IF(AND(ISNUMBER(C9),C9&lt;&gt;0),(E9/C9),"")</f>
        <v>0.2222222222222222</v>
      </c>
      <c r="K9" s="7"/>
      <c r="L9" s="24">
        <f aca="true" t="shared" si="3" ref="L9:L21">E9</f>
        <v>8</v>
      </c>
      <c r="M9" s="25">
        <f>US!T9</f>
        <v>8</v>
      </c>
      <c r="N9" s="21">
        <f>E9-US!T9</f>
        <v>0</v>
      </c>
    </row>
    <row r="10" spans="1:14" ht="19.5" customHeight="1">
      <c r="A10" s="88">
        <v>3</v>
      </c>
      <c r="B10" s="89" t="s">
        <v>38</v>
      </c>
      <c r="C10" s="53">
        <f>IF(US!C10="","",US!C10)</f>
        <v>49</v>
      </c>
      <c r="D10" s="53">
        <f>US!J10</f>
        <v>2749</v>
      </c>
      <c r="E10" s="53">
        <f t="shared" si="0"/>
        <v>55</v>
      </c>
      <c r="F10" s="51">
        <v>50</v>
      </c>
      <c r="G10" s="51">
        <v>5</v>
      </c>
      <c r="H10" s="51"/>
      <c r="I10" s="52">
        <f t="shared" si="1"/>
        <v>2.000727537286286</v>
      </c>
      <c r="J10" s="52">
        <f t="shared" si="2"/>
        <v>1.1224489795918366</v>
      </c>
      <c r="K10" s="7"/>
      <c r="L10" s="24">
        <f t="shared" si="3"/>
        <v>55</v>
      </c>
      <c r="M10" s="25">
        <f>US!T10</f>
        <v>55</v>
      </c>
      <c r="N10" s="21">
        <f>E10-US!T10</f>
        <v>0</v>
      </c>
    </row>
    <row r="11" spans="1:14" ht="19.5" customHeight="1">
      <c r="A11" s="88">
        <v>4</v>
      </c>
      <c r="B11" s="89" t="s">
        <v>39</v>
      </c>
      <c r="C11" s="53">
        <f>IF(US!C11="","",US!C11)</f>
        <v>41</v>
      </c>
      <c r="D11" s="53">
        <f>US!J11</f>
        <v>50</v>
      </c>
      <c r="E11" s="53">
        <f t="shared" si="0"/>
        <v>0</v>
      </c>
      <c r="F11" s="51"/>
      <c r="G11" s="51"/>
      <c r="H11" s="51"/>
      <c r="I11" s="52">
        <f t="shared" si="1"/>
        <v>0</v>
      </c>
      <c r="J11" s="52">
        <f t="shared" si="2"/>
        <v>0</v>
      </c>
      <c r="K11" s="7"/>
      <c r="L11" s="24">
        <f t="shared" si="3"/>
        <v>0</v>
      </c>
      <c r="M11" s="25">
        <f>US!T11</f>
        <v>0</v>
      </c>
      <c r="N11" s="21">
        <f>E11-US!T11</f>
        <v>0</v>
      </c>
    </row>
    <row r="12" spans="1:14" ht="19.5" customHeight="1">
      <c r="A12" s="88">
        <v>5</v>
      </c>
      <c r="B12" s="88" t="s">
        <v>40</v>
      </c>
      <c r="C12" s="53">
        <f>IF(US!C12="","",US!C12)</f>
        <v>16</v>
      </c>
      <c r="D12" s="53">
        <f>US!J12</f>
        <v>428</v>
      </c>
      <c r="E12" s="53">
        <f t="shared" si="0"/>
        <v>1</v>
      </c>
      <c r="F12" s="51">
        <v>1</v>
      </c>
      <c r="G12" s="51"/>
      <c r="H12" s="51"/>
      <c r="I12" s="52">
        <f t="shared" si="1"/>
        <v>0.23364485981308408</v>
      </c>
      <c r="J12" s="52">
        <f t="shared" si="2"/>
        <v>0.0625</v>
      </c>
      <c r="K12" s="7"/>
      <c r="L12" s="24">
        <f t="shared" si="3"/>
        <v>1</v>
      </c>
      <c r="M12" s="25">
        <f>US!T12</f>
        <v>1</v>
      </c>
      <c r="N12" s="21">
        <f>E12-US!T12</f>
        <v>0</v>
      </c>
    </row>
    <row r="13" spans="1:14" ht="19.5" customHeight="1">
      <c r="A13" s="88">
        <v>6</v>
      </c>
      <c r="B13" s="88" t="s">
        <v>41</v>
      </c>
      <c r="C13" s="53">
        <f>IF(US!C13="","",US!C13)</f>
        <v>24</v>
      </c>
      <c r="D13" s="53">
        <f>US!J13</f>
        <v>151</v>
      </c>
      <c r="E13" s="53">
        <f>SUM(F13:H13)</f>
        <v>25</v>
      </c>
      <c r="F13" s="51">
        <v>19</v>
      </c>
      <c r="G13" s="51">
        <v>6</v>
      </c>
      <c r="H13" s="51"/>
      <c r="I13" s="52">
        <f>IF(D13=0,"",(E13/D13*100))</f>
        <v>16.55629139072848</v>
      </c>
      <c r="J13" s="52">
        <f>IF(AND(ISNUMBER(C13),C13&lt;&gt;0),(E13/C13),"")</f>
        <v>1.0416666666666667</v>
      </c>
      <c r="K13" s="7"/>
      <c r="L13" s="24">
        <f>E13</f>
        <v>25</v>
      </c>
      <c r="M13" s="25">
        <f>US!T13</f>
        <v>25</v>
      </c>
      <c r="N13" s="21">
        <f>E13-US!T13</f>
        <v>0</v>
      </c>
    </row>
    <row r="14" spans="1:14" ht="19.5" customHeight="1">
      <c r="A14" s="88">
        <v>7</v>
      </c>
      <c r="B14" s="88" t="s">
        <v>87</v>
      </c>
      <c r="C14" s="53">
        <f>IF(US!C14="","",US!C14)</f>
        <v>49</v>
      </c>
      <c r="D14" s="53">
        <f>US!J14</f>
        <v>33948</v>
      </c>
      <c r="E14" s="53">
        <f>SUM(F14:H14)</f>
        <v>6</v>
      </c>
      <c r="F14" s="51">
        <v>3</v>
      </c>
      <c r="G14" s="51">
        <v>3</v>
      </c>
      <c r="H14" s="51"/>
      <c r="I14" s="52">
        <f>IF(D14=0,"",(E14/D14*100))</f>
        <v>0.017674089784376106</v>
      </c>
      <c r="J14" s="52">
        <f>IF(AND(ISNUMBER(C14),C14&lt;&gt;0),(E14/C14),"")</f>
        <v>0.12244897959183673</v>
      </c>
      <c r="K14" s="7"/>
      <c r="L14" s="24">
        <f>E14</f>
        <v>6</v>
      </c>
      <c r="M14" s="25">
        <f>US!T14</f>
        <v>6</v>
      </c>
      <c r="N14" s="21">
        <f>E14-US!T14</f>
        <v>0</v>
      </c>
    </row>
    <row r="15" spans="1:14" ht="19.5" customHeight="1">
      <c r="A15" s="130" t="s">
        <v>88</v>
      </c>
      <c r="B15" s="131"/>
      <c r="C15" s="76">
        <f>IF(US!C15="","",US!C15)</f>
        <v>49</v>
      </c>
      <c r="D15" s="76">
        <f>US!J15</f>
        <v>144778</v>
      </c>
      <c r="E15" s="77">
        <f t="shared" si="0"/>
        <v>7042</v>
      </c>
      <c r="F15" s="77">
        <f>SUM(F8:F14)</f>
        <v>6586</v>
      </c>
      <c r="G15" s="77">
        <f>SUM(G8:G14)</f>
        <v>455</v>
      </c>
      <c r="H15" s="77">
        <f>SUM(H8:H14)</f>
        <v>1</v>
      </c>
      <c r="I15" s="78">
        <f t="shared" si="1"/>
        <v>4.863998673831659</v>
      </c>
      <c r="J15" s="78">
        <f t="shared" si="2"/>
        <v>143.71428571428572</v>
      </c>
      <c r="K15" s="8"/>
      <c r="L15" s="47">
        <f t="shared" si="3"/>
        <v>7042</v>
      </c>
      <c r="M15" s="48">
        <f>US!T15</f>
        <v>7042</v>
      </c>
      <c r="N15" s="49">
        <f>E15-US!T15</f>
        <v>0</v>
      </c>
    </row>
    <row r="16" spans="1:14" ht="19.5" customHeight="1">
      <c r="A16" s="88">
        <v>8</v>
      </c>
      <c r="B16" s="89" t="s">
        <v>34</v>
      </c>
      <c r="C16" s="53">
        <f>IF(US!C16="","",US!C16)</f>
      </c>
      <c r="D16" s="53">
        <f>US!J16</f>
        <v>0</v>
      </c>
      <c r="E16" s="53">
        <f t="shared" si="0"/>
        <v>0</v>
      </c>
      <c r="F16" s="51"/>
      <c r="G16" s="51"/>
      <c r="H16" s="51"/>
      <c r="I16" s="52">
        <f t="shared" si="1"/>
      </c>
      <c r="J16" s="52">
        <f t="shared" si="2"/>
      </c>
      <c r="K16" s="7"/>
      <c r="L16" s="24">
        <f t="shared" si="3"/>
        <v>0</v>
      </c>
      <c r="M16" s="25">
        <f>US!T16</f>
        <v>0</v>
      </c>
      <c r="N16" s="21">
        <f>E16-US!T16</f>
        <v>0</v>
      </c>
    </row>
    <row r="17" spans="1:14" ht="19.5" customHeight="1">
      <c r="A17" s="88">
        <v>9</v>
      </c>
      <c r="B17" s="89" t="s">
        <v>35</v>
      </c>
      <c r="C17" s="53">
        <f>IF(US!C17="","",US!C17)</f>
      </c>
      <c r="D17" s="53">
        <f>US!J17</f>
        <v>0</v>
      </c>
      <c r="E17" s="53">
        <f t="shared" si="0"/>
        <v>0</v>
      </c>
      <c r="F17" s="51"/>
      <c r="G17" s="51"/>
      <c r="H17" s="51"/>
      <c r="I17" s="52">
        <f t="shared" si="1"/>
      </c>
      <c r="J17" s="52">
        <f t="shared" si="2"/>
      </c>
      <c r="K17" s="7"/>
      <c r="L17" s="24">
        <f t="shared" si="3"/>
        <v>0</v>
      </c>
      <c r="M17" s="25">
        <f>US!T17</f>
        <v>0</v>
      </c>
      <c r="N17" s="21">
        <f>E17-US!T17</f>
        <v>0</v>
      </c>
    </row>
    <row r="18" spans="1:14" ht="19.5" customHeight="1">
      <c r="A18" s="88">
        <v>10</v>
      </c>
      <c r="B18" s="89" t="s">
        <v>36</v>
      </c>
      <c r="C18" s="53">
        <f>IF(US!C18="","",US!C18)</f>
        <v>2</v>
      </c>
      <c r="D18" s="53">
        <f>US!J18</f>
        <v>2</v>
      </c>
      <c r="E18" s="53">
        <f t="shared" si="0"/>
        <v>0</v>
      </c>
      <c r="F18" s="51"/>
      <c r="G18" s="51"/>
      <c r="H18" s="51"/>
      <c r="I18" s="52">
        <f>IF(D18=0,"",(E18/D18*100))</f>
        <v>0</v>
      </c>
      <c r="J18" s="52">
        <f t="shared" si="2"/>
        <v>0</v>
      </c>
      <c r="K18" s="7"/>
      <c r="L18" s="24">
        <f>E18</f>
        <v>0</v>
      </c>
      <c r="M18" s="25">
        <f>US!T18</f>
        <v>0</v>
      </c>
      <c r="N18" s="21">
        <f>E18-US!T18</f>
        <v>0</v>
      </c>
    </row>
    <row r="19" spans="1:14" ht="19.5" customHeight="1">
      <c r="A19" s="88">
        <v>11</v>
      </c>
      <c r="B19" s="90" t="s">
        <v>57</v>
      </c>
      <c r="C19" s="53">
        <f>IF(US!C19="","",US!C19)</f>
        <v>1</v>
      </c>
      <c r="D19" s="53">
        <f>US!J19</f>
        <v>1</v>
      </c>
      <c r="E19" s="53">
        <f t="shared" si="0"/>
        <v>0</v>
      </c>
      <c r="F19" s="51"/>
      <c r="G19" s="51"/>
      <c r="H19" s="51"/>
      <c r="I19" s="52">
        <f>IF(D19=0,"",(E19/D19*100))</f>
        <v>0</v>
      </c>
      <c r="J19" s="52">
        <f t="shared" si="2"/>
        <v>0</v>
      </c>
      <c r="K19" s="7"/>
      <c r="L19" s="24">
        <f t="shared" si="3"/>
        <v>0</v>
      </c>
      <c r="M19" s="25">
        <f>US!T19</f>
        <v>0</v>
      </c>
      <c r="N19" s="21">
        <f>E19-US!T19</f>
        <v>0</v>
      </c>
    </row>
    <row r="20" spans="1:14" ht="19.5" customHeight="1">
      <c r="A20" s="88">
        <v>12</v>
      </c>
      <c r="B20" s="89" t="s">
        <v>58</v>
      </c>
      <c r="C20" s="53">
        <f>IF(US!C20="","",US!C20)</f>
        <v>4</v>
      </c>
      <c r="D20" s="53">
        <f>US!J20</f>
        <v>6</v>
      </c>
      <c r="E20" s="53">
        <f t="shared" si="0"/>
        <v>0</v>
      </c>
      <c r="F20" s="51"/>
      <c r="G20" s="51"/>
      <c r="H20" s="51"/>
      <c r="I20" s="52">
        <f>IF(D20=0,"",(E20/D20*100))</f>
        <v>0</v>
      </c>
      <c r="J20" s="52">
        <f t="shared" si="2"/>
        <v>0</v>
      </c>
      <c r="K20" s="7"/>
      <c r="L20" s="24">
        <f>E20</f>
        <v>0</v>
      </c>
      <c r="M20" s="25">
        <f>US!T20</f>
        <v>0</v>
      </c>
      <c r="N20" s="21">
        <f>E20-US!T20</f>
        <v>0</v>
      </c>
    </row>
    <row r="21" spans="1:14" ht="19.5" customHeight="1">
      <c r="A21" s="130" t="s">
        <v>89</v>
      </c>
      <c r="B21" s="131"/>
      <c r="C21" s="76">
        <f>IF(US!C21="","",US!C21)</f>
        <v>4</v>
      </c>
      <c r="D21" s="76">
        <f>US!J21</f>
        <v>9</v>
      </c>
      <c r="E21" s="77">
        <f t="shared" si="0"/>
        <v>0</v>
      </c>
      <c r="F21" s="77">
        <f>SUM(F16:F20)</f>
        <v>0</v>
      </c>
      <c r="G21" s="77">
        <f>SUM(G16:G20)</f>
        <v>0</v>
      </c>
      <c r="H21" s="77">
        <f>SUM(H16:H20)</f>
        <v>0</v>
      </c>
      <c r="I21" s="78">
        <f t="shared" si="1"/>
        <v>0</v>
      </c>
      <c r="J21" s="78">
        <f t="shared" si="2"/>
        <v>0</v>
      </c>
      <c r="K21" s="8"/>
      <c r="L21" s="47">
        <f t="shared" si="3"/>
        <v>0</v>
      </c>
      <c r="M21" s="48">
        <f>US!T21</f>
        <v>0</v>
      </c>
      <c r="N21" s="49">
        <f>E21-US!T21</f>
        <v>0</v>
      </c>
    </row>
    <row r="22" spans="1:14" ht="19.5" customHeight="1">
      <c r="A22" s="88">
        <v>13</v>
      </c>
      <c r="B22" s="89" t="s">
        <v>59</v>
      </c>
      <c r="C22" s="53">
        <f>IF(US!C22="","",US!C22)</f>
        <v>2</v>
      </c>
      <c r="D22" s="53">
        <f>US!J22</f>
        <v>346</v>
      </c>
      <c r="E22" s="53">
        <f t="shared" si="0"/>
        <v>0</v>
      </c>
      <c r="F22" s="51"/>
      <c r="G22" s="51"/>
      <c r="H22" s="51"/>
      <c r="I22" s="52">
        <f>IF(D22=0,"",(E22/D22*100))</f>
        <v>0</v>
      </c>
      <c r="J22" s="52">
        <f t="shared" si="2"/>
        <v>0</v>
      </c>
      <c r="K22" s="8"/>
      <c r="L22" s="24">
        <f>E22</f>
        <v>0</v>
      </c>
      <c r="M22" s="25">
        <f>US!T22</f>
        <v>0</v>
      </c>
      <c r="N22" s="21">
        <f>E22-US!T22</f>
        <v>0</v>
      </c>
    </row>
    <row r="23" spans="1:14" ht="19.5" customHeight="1">
      <c r="A23" s="132" t="s">
        <v>60</v>
      </c>
      <c r="B23" s="133"/>
      <c r="C23" s="79">
        <f>IF(US!C23="","",US!C23)</f>
        <v>49</v>
      </c>
      <c r="D23" s="79">
        <f>US!J23</f>
        <v>145133</v>
      </c>
      <c r="E23" s="80">
        <f t="shared" si="0"/>
        <v>7042</v>
      </c>
      <c r="F23" s="80">
        <f>SUM(F15,F21,F22)</f>
        <v>6586</v>
      </c>
      <c r="G23" s="80">
        <f>SUM(G15,G21,G22)</f>
        <v>455</v>
      </c>
      <c r="H23" s="80">
        <f>SUM(H15,H21,H22)</f>
        <v>1</v>
      </c>
      <c r="I23" s="81">
        <f>IF(D23=0,"",(E23/D23*100))</f>
        <v>4.852101176162554</v>
      </c>
      <c r="J23" s="81">
        <f t="shared" si="2"/>
        <v>143.71428571428572</v>
      </c>
      <c r="K23" s="17"/>
      <c r="L23" s="47">
        <f>E23</f>
        <v>7042</v>
      </c>
      <c r="M23" s="48">
        <f>US!T23</f>
        <v>7042</v>
      </c>
      <c r="N23" s="49">
        <f>E23-US!T23</f>
        <v>0</v>
      </c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7"/>
      <c r="L24" s="18"/>
      <c r="M24" s="16"/>
      <c r="N24" s="15"/>
    </row>
    <row r="25" spans="1:14" ht="18" customHeight="1">
      <c r="A25" s="15"/>
      <c r="B25" s="15"/>
      <c r="C25" s="15"/>
      <c r="D25" s="15"/>
      <c r="E25" s="82"/>
      <c r="F25" s="82"/>
      <c r="G25" s="82" t="s">
        <v>61</v>
      </c>
      <c r="H25" s="82"/>
      <c r="I25" s="82"/>
      <c r="J25" s="82"/>
      <c r="K25" s="15"/>
      <c r="L25" s="16"/>
      <c r="M25" s="16"/>
      <c r="N25" s="15"/>
    </row>
    <row r="26" spans="1:14" ht="12.75" customHeight="1">
      <c r="A26" s="15"/>
      <c r="B26" s="15"/>
      <c r="C26" s="15"/>
      <c r="D26" s="15"/>
      <c r="E26" s="82" t="s">
        <v>63</v>
      </c>
      <c r="F26" s="82"/>
      <c r="G26" s="129" t="str">
        <f>US!AJ26</f>
        <v>судија Радојка Маринковић</v>
      </c>
      <c r="H26" s="129"/>
      <c r="I26" s="129"/>
      <c r="J26" s="129"/>
      <c r="K26" s="15"/>
      <c r="L26" s="16"/>
      <c r="M26" s="16"/>
      <c r="N26" s="15"/>
    </row>
    <row r="27" spans="1:1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5"/>
    </row>
    <row r="28" spans="1:14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6"/>
      <c r="N28" s="15"/>
    </row>
    <row r="29" spans="1:14" ht="12.75" customHeight="1">
      <c r="A29" s="15"/>
      <c r="B29" s="15"/>
      <c r="C29" s="15"/>
      <c r="D29" s="15"/>
      <c r="E29" s="15"/>
      <c r="F29" s="15"/>
      <c r="G29" s="26" t="s">
        <v>62</v>
      </c>
      <c r="H29" s="15"/>
      <c r="I29" s="15"/>
      <c r="J29" s="15"/>
      <c r="K29" s="15"/>
      <c r="L29" s="16"/>
      <c r="M29" s="16"/>
      <c r="N29" s="15"/>
    </row>
  </sheetData>
  <sheetProtection/>
  <mergeCells count="15">
    <mergeCell ref="F5:H6"/>
    <mergeCell ref="I5:I7"/>
    <mergeCell ref="J5:J7"/>
    <mergeCell ref="L5:N6"/>
    <mergeCell ref="A15:B15"/>
    <mergeCell ref="G26:J26"/>
    <mergeCell ref="A21:B21"/>
    <mergeCell ref="A23:B23"/>
    <mergeCell ref="A2:J2"/>
    <mergeCell ref="A3:J3"/>
    <mergeCell ref="A5:A7"/>
    <mergeCell ref="B5:B7"/>
    <mergeCell ref="C5:C7"/>
    <mergeCell ref="D5:D7"/>
    <mergeCell ref="E5:E7"/>
  </mergeCells>
  <conditionalFormatting sqref="N8:N23">
    <cfRule type="expression" priority="3" dxfId="1" stopIfTrue="1">
      <formula>(0&gt;$N8)</formula>
    </cfRule>
    <cfRule type="expression" priority="4" dxfId="0" stopIfTrue="1">
      <formula>(0&lt;$N8)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F16:H20 F22:H22 F8:H14">
      <formula1>0</formula1>
      <formula2>99999999</formula2>
    </dataValidation>
  </dataValidation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3"/>
  <sheetViews>
    <sheetView zoomScale="90" zoomScaleNormal="90" zoomScalePageLayoutView="0" workbookViewId="0" topLeftCell="A1">
      <selection activeCell="T25" sqref="T25"/>
    </sheetView>
  </sheetViews>
  <sheetFormatPr defaultColWidth="9.140625" defaultRowHeight="12.75"/>
  <cols>
    <col min="1" max="1" width="6.57421875" style="28" customWidth="1"/>
    <col min="2" max="2" width="19.28125" style="28" customWidth="1"/>
    <col min="3" max="3" width="20.7109375" style="28" customWidth="1"/>
    <col min="4" max="9" width="17.7109375" style="28" customWidth="1"/>
    <col min="10" max="13" width="10.7109375" style="28" customWidth="1"/>
    <col min="14" max="16384" width="9.140625" style="28" customWidth="1"/>
  </cols>
  <sheetData>
    <row r="1" spans="1:12" ht="19.5" customHeight="1">
      <c r="A1" s="156" t="s">
        <v>64</v>
      </c>
      <c r="B1" s="156"/>
      <c r="C1" s="156"/>
      <c r="D1" s="157" t="s">
        <v>65</v>
      </c>
      <c r="E1" s="157"/>
      <c r="F1" s="157"/>
      <c r="G1" s="157"/>
      <c r="H1" s="157"/>
      <c r="I1" s="27"/>
      <c r="J1" s="27"/>
      <c r="K1" s="27"/>
      <c r="L1" s="27"/>
    </row>
    <row r="2" spans="2:12" ht="12.7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23.25" customHeight="1">
      <c r="A3" s="152" t="s">
        <v>85</v>
      </c>
      <c r="B3" s="152"/>
      <c r="C3" s="152"/>
      <c r="D3" s="152"/>
      <c r="E3" s="152"/>
      <c r="F3" s="152"/>
      <c r="G3" s="152"/>
      <c r="H3" s="152"/>
      <c r="I3" s="152"/>
      <c r="J3" s="30"/>
      <c r="K3" s="146" t="s">
        <v>77</v>
      </c>
      <c r="L3" s="146"/>
      <c r="M3" s="146"/>
    </row>
    <row r="4" spans="1:13" ht="18.75" customHeight="1">
      <c r="A4" s="153" t="s">
        <v>5</v>
      </c>
      <c r="B4" s="154" t="s">
        <v>66</v>
      </c>
      <c r="C4" s="154" t="s">
        <v>67</v>
      </c>
      <c r="D4" s="155" t="s">
        <v>68</v>
      </c>
      <c r="E4" s="155"/>
      <c r="F4" s="155"/>
      <c r="G4" s="155"/>
      <c r="H4" s="155"/>
      <c r="I4" s="155"/>
      <c r="J4" s="31"/>
      <c r="K4" s="146"/>
      <c r="L4" s="146"/>
      <c r="M4" s="146"/>
    </row>
    <row r="5" spans="1:13" s="33" customFormat="1" ht="49.5" customHeight="1">
      <c r="A5" s="153"/>
      <c r="B5" s="154"/>
      <c r="C5" s="154"/>
      <c r="D5" s="32" t="s">
        <v>69</v>
      </c>
      <c r="E5" s="32" t="s">
        <v>70</v>
      </c>
      <c r="F5" s="50" t="s">
        <v>79</v>
      </c>
      <c r="G5" s="32" t="s">
        <v>80</v>
      </c>
      <c r="H5" s="32" t="s">
        <v>71</v>
      </c>
      <c r="I5" s="32" t="s">
        <v>72</v>
      </c>
      <c r="J5" s="31"/>
      <c r="K5" s="9" t="s">
        <v>56</v>
      </c>
      <c r="L5" s="9" t="s">
        <v>55</v>
      </c>
      <c r="M5" s="20" t="s">
        <v>54</v>
      </c>
    </row>
    <row r="6" spans="1:13" ht="15" customHeight="1">
      <c r="A6" s="34">
        <v>1</v>
      </c>
      <c r="B6" s="34" t="s">
        <v>33</v>
      </c>
      <c r="C6" s="40">
        <f>US!R8</f>
        <v>93202</v>
      </c>
      <c r="D6" s="38">
        <v>38246</v>
      </c>
      <c r="E6" s="38">
        <v>36889</v>
      </c>
      <c r="F6" s="38">
        <v>11334</v>
      </c>
      <c r="G6" s="38">
        <v>6354</v>
      </c>
      <c r="H6" s="38">
        <v>379</v>
      </c>
      <c r="I6" s="38"/>
      <c r="J6" s="31"/>
      <c r="K6" s="41">
        <f>G6+H6+I6</f>
        <v>6733</v>
      </c>
      <c r="L6" s="42">
        <f>US!S8</f>
        <v>6733</v>
      </c>
      <c r="M6" s="43">
        <f>K6-L6</f>
        <v>0</v>
      </c>
    </row>
    <row r="7" spans="1:13" ht="15" customHeight="1">
      <c r="A7" s="34">
        <v>2</v>
      </c>
      <c r="B7" s="34" t="s">
        <v>37</v>
      </c>
      <c r="C7" s="40">
        <f>US!R9</f>
        <v>106</v>
      </c>
      <c r="D7" s="38">
        <v>56</v>
      </c>
      <c r="E7" s="38">
        <v>33</v>
      </c>
      <c r="F7" s="38">
        <v>12</v>
      </c>
      <c r="G7" s="38">
        <v>5</v>
      </c>
      <c r="H7" s="38"/>
      <c r="I7" s="38"/>
      <c r="J7" s="31"/>
      <c r="K7" s="41">
        <f aca="true" t="shared" si="0" ref="K7:K19">G7+H7+I7</f>
        <v>5</v>
      </c>
      <c r="L7" s="42">
        <f>US!S9</f>
        <v>5</v>
      </c>
      <c r="M7" s="43">
        <f aca="true" t="shared" si="1" ref="M7:M19">K7-L7</f>
        <v>0</v>
      </c>
    </row>
    <row r="8" spans="1:13" ht="15" customHeight="1">
      <c r="A8" s="34">
        <v>3</v>
      </c>
      <c r="B8" s="34" t="s">
        <v>38</v>
      </c>
      <c r="C8" s="40">
        <f>US!R10</f>
        <v>2365</v>
      </c>
      <c r="D8" s="38">
        <v>1525</v>
      </c>
      <c r="E8" s="38">
        <v>688</v>
      </c>
      <c r="F8" s="38">
        <v>106</v>
      </c>
      <c r="G8" s="38">
        <v>43</v>
      </c>
      <c r="H8" s="38">
        <v>3</v>
      </c>
      <c r="I8" s="38"/>
      <c r="J8" s="31"/>
      <c r="K8" s="41">
        <f t="shared" si="0"/>
        <v>46</v>
      </c>
      <c r="L8" s="42">
        <f>US!S10</f>
        <v>46</v>
      </c>
      <c r="M8" s="43">
        <f t="shared" si="1"/>
        <v>0</v>
      </c>
    </row>
    <row r="9" spans="1:13" ht="15" customHeight="1">
      <c r="A9" s="34">
        <v>4</v>
      </c>
      <c r="B9" s="34" t="s">
        <v>39</v>
      </c>
      <c r="C9" s="40">
        <f>US!R11</f>
        <v>4</v>
      </c>
      <c r="D9" s="38">
        <v>4</v>
      </c>
      <c r="E9" s="38"/>
      <c r="F9" s="38"/>
      <c r="G9" s="38"/>
      <c r="H9" s="38"/>
      <c r="I9" s="38"/>
      <c r="J9" s="31"/>
      <c r="K9" s="41">
        <f t="shared" si="0"/>
        <v>0</v>
      </c>
      <c r="L9" s="42">
        <f>US!S11</f>
        <v>0</v>
      </c>
      <c r="M9" s="43">
        <f t="shared" si="1"/>
        <v>0</v>
      </c>
    </row>
    <row r="10" spans="1:13" ht="15" customHeight="1">
      <c r="A10" s="34">
        <v>5</v>
      </c>
      <c r="B10" s="34" t="s">
        <v>40</v>
      </c>
      <c r="C10" s="40">
        <f>US!R12</f>
        <v>266</v>
      </c>
      <c r="D10" s="38">
        <v>191</v>
      </c>
      <c r="E10" s="38">
        <v>62</v>
      </c>
      <c r="F10" s="38">
        <v>12</v>
      </c>
      <c r="G10" s="38">
        <v>1</v>
      </c>
      <c r="H10" s="38"/>
      <c r="I10" s="38"/>
      <c r="J10" s="31"/>
      <c r="K10" s="41">
        <f t="shared" si="0"/>
        <v>1</v>
      </c>
      <c r="L10" s="42">
        <f>US!S12</f>
        <v>1</v>
      </c>
      <c r="M10" s="43">
        <f t="shared" si="1"/>
        <v>0</v>
      </c>
    </row>
    <row r="11" spans="1:13" ht="15" customHeight="1">
      <c r="A11" s="34">
        <v>6</v>
      </c>
      <c r="B11" s="34" t="s">
        <v>41</v>
      </c>
      <c r="C11" s="40">
        <f>US!R13</f>
        <v>104</v>
      </c>
      <c r="D11" s="38">
        <v>35</v>
      </c>
      <c r="E11" s="38">
        <v>21</v>
      </c>
      <c r="F11" s="38">
        <v>30</v>
      </c>
      <c r="G11" s="38">
        <v>15</v>
      </c>
      <c r="H11" s="38">
        <v>3</v>
      </c>
      <c r="I11" s="38"/>
      <c r="J11" s="31"/>
      <c r="K11" s="41">
        <f t="shared" si="0"/>
        <v>18</v>
      </c>
      <c r="L11" s="42">
        <f>US!S13</f>
        <v>18</v>
      </c>
      <c r="M11" s="43">
        <f t="shared" si="1"/>
        <v>0</v>
      </c>
    </row>
    <row r="12" spans="1:13" ht="15" customHeight="1">
      <c r="A12" s="34">
        <v>7</v>
      </c>
      <c r="B12" s="34" t="s">
        <v>87</v>
      </c>
      <c r="C12" s="40">
        <f>US!R14</f>
        <v>33826</v>
      </c>
      <c r="D12" s="38">
        <v>33826</v>
      </c>
      <c r="E12" s="38"/>
      <c r="F12" s="38"/>
      <c r="G12" s="38"/>
      <c r="H12" s="38"/>
      <c r="I12" s="38"/>
      <c r="J12" s="31"/>
      <c r="K12" s="41">
        <f>G12+H12+I12</f>
        <v>0</v>
      </c>
      <c r="L12" s="42">
        <f>US!S14</f>
        <v>0</v>
      </c>
      <c r="M12" s="43">
        <f>K12-L12</f>
        <v>0</v>
      </c>
    </row>
    <row r="13" spans="1:13" ht="15" customHeight="1">
      <c r="A13" s="34">
        <v>8</v>
      </c>
      <c r="B13" s="34" t="s">
        <v>34</v>
      </c>
      <c r="C13" s="40">
        <f>US!R16</f>
        <v>0</v>
      </c>
      <c r="D13" s="38"/>
      <c r="E13" s="38"/>
      <c r="F13" s="38"/>
      <c r="G13" s="38"/>
      <c r="H13" s="38"/>
      <c r="I13" s="38"/>
      <c r="J13" s="31"/>
      <c r="K13" s="41">
        <f t="shared" si="0"/>
        <v>0</v>
      </c>
      <c r="L13" s="42">
        <f>US!S16</f>
        <v>0</v>
      </c>
      <c r="M13" s="43">
        <f t="shared" si="1"/>
        <v>0</v>
      </c>
    </row>
    <row r="14" spans="1:13" ht="15" customHeight="1">
      <c r="A14" s="34">
        <v>9</v>
      </c>
      <c r="B14" s="34" t="s">
        <v>35</v>
      </c>
      <c r="C14" s="40">
        <f>US!R17</f>
        <v>0</v>
      </c>
      <c r="D14" s="38"/>
      <c r="E14" s="38"/>
      <c r="F14" s="38"/>
      <c r="G14" s="38"/>
      <c r="H14" s="38"/>
      <c r="I14" s="38"/>
      <c r="J14" s="31"/>
      <c r="K14" s="41">
        <f t="shared" si="0"/>
        <v>0</v>
      </c>
      <c r="L14" s="42">
        <f>US!S17</f>
        <v>0</v>
      </c>
      <c r="M14" s="43">
        <f t="shared" si="1"/>
        <v>0</v>
      </c>
    </row>
    <row r="15" spans="1:13" ht="15" customHeight="1">
      <c r="A15" s="34">
        <v>10</v>
      </c>
      <c r="B15" s="34" t="s">
        <v>36</v>
      </c>
      <c r="C15" s="40">
        <f>US!R18</f>
        <v>0</v>
      </c>
      <c r="D15" s="38"/>
      <c r="E15" s="38"/>
      <c r="F15" s="38"/>
      <c r="G15" s="38"/>
      <c r="H15" s="38"/>
      <c r="I15" s="38"/>
      <c r="J15" s="31"/>
      <c r="K15" s="41">
        <f t="shared" si="0"/>
        <v>0</v>
      </c>
      <c r="L15" s="42">
        <f>US!S18</f>
        <v>0</v>
      </c>
      <c r="M15" s="43">
        <f t="shared" si="1"/>
        <v>0</v>
      </c>
    </row>
    <row r="16" spans="1:13" ht="15" customHeight="1">
      <c r="A16" s="34">
        <v>11</v>
      </c>
      <c r="B16" s="34" t="s">
        <v>57</v>
      </c>
      <c r="C16" s="40">
        <f>US!R19</f>
        <v>0</v>
      </c>
      <c r="D16" s="38"/>
      <c r="E16" s="38"/>
      <c r="F16" s="38"/>
      <c r="G16" s="38"/>
      <c r="H16" s="38"/>
      <c r="I16" s="38"/>
      <c r="J16" s="31"/>
      <c r="K16" s="41">
        <f t="shared" si="0"/>
        <v>0</v>
      </c>
      <c r="L16" s="42">
        <f>US!S19</f>
        <v>0</v>
      </c>
      <c r="M16" s="43">
        <f t="shared" si="1"/>
        <v>0</v>
      </c>
    </row>
    <row r="17" spans="1:13" ht="15" customHeight="1">
      <c r="A17" s="34">
        <v>12</v>
      </c>
      <c r="B17" s="34" t="s">
        <v>58</v>
      </c>
      <c r="C17" s="40">
        <f>US!R20</f>
        <v>4</v>
      </c>
      <c r="D17" s="38">
        <v>4</v>
      </c>
      <c r="E17" s="38"/>
      <c r="F17" s="38"/>
      <c r="G17" s="38"/>
      <c r="H17" s="38"/>
      <c r="I17" s="38"/>
      <c r="J17" s="31"/>
      <c r="K17" s="41">
        <f t="shared" si="0"/>
        <v>0</v>
      </c>
      <c r="L17" s="42">
        <f>US!S20</f>
        <v>0</v>
      </c>
      <c r="M17" s="43">
        <f t="shared" si="1"/>
        <v>0</v>
      </c>
    </row>
    <row r="18" spans="1:13" ht="15" customHeight="1">
      <c r="A18" s="34">
        <v>13</v>
      </c>
      <c r="B18" s="34" t="s">
        <v>59</v>
      </c>
      <c r="C18" s="40">
        <f>US!R22</f>
        <v>83</v>
      </c>
      <c r="D18" s="38">
        <v>83</v>
      </c>
      <c r="E18" s="38"/>
      <c r="F18" s="38"/>
      <c r="G18" s="38"/>
      <c r="H18" s="38"/>
      <c r="I18" s="38"/>
      <c r="J18" s="31"/>
      <c r="K18" s="41">
        <f t="shared" si="0"/>
        <v>0</v>
      </c>
      <c r="L18" s="42">
        <f>US!S22</f>
        <v>0</v>
      </c>
      <c r="M18" s="43">
        <f t="shared" si="1"/>
        <v>0</v>
      </c>
    </row>
    <row r="19" spans="1:13" ht="15" customHeight="1">
      <c r="A19" s="148" t="s">
        <v>91</v>
      </c>
      <c r="B19" s="148"/>
      <c r="C19" s="39">
        <f aca="true" t="shared" si="2" ref="C19:I19">SUM(C6:C18)</f>
        <v>129960</v>
      </c>
      <c r="D19" s="39">
        <f t="shared" si="2"/>
        <v>73970</v>
      </c>
      <c r="E19" s="39">
        <f t="shared" si="2"/>
        <v>37693</v>
      </c>
      <c r="F19" s="39">
        <f t="shared" si="2"/>
        <v>11494</v>
      </c>
      <c r="G19" s="39">
        <f t="shared" si="2"/>
        <v>6418</v>
      </c>
      <c r="H19" s="39">
        <f t="shared" si="2"/>
        <v>385</v>
      </c>
      <c r="I19" s="39">
        <f t="shared" si="2"/>
        <v>0</v>
      </c>
      <c r="J19" s="31"/>
      <c r="K19" s="44">
        <f t="shared" si="0"/>
        <v>6803</v>
      </c>
      <c r="L19" s="45">
        <f>SUM(L6:L18)</f>
        <v>6803</v>
      </c>
      <c r="M19" s="46">
        <f t="shared" si="1"/>
        <v>0</v>
      </c>
    </row>
    <row r="20" ht="12.75" customHeight="1"/>
    <row r="21" spans="2:13" ht="19.5" customHeight="1">
      <c r="B21" s="152" t="s">
        <v>86</v>
      </c>
      <c r="C21" s="152"/>
      <c r="D21" s="152"/>
      <c r="E21" s="152"/>
      <c r="F21" s="152"/>
      <c r="G21" s="152"/>
      <c r="H21" s="152"/>
      <c r="I21" s="152"/>
      <c r="J21" s="30"/>
      <c r="K21" s="146" t="s">
        <v>78</v>
      </c>
      <c r="L21" s="146"/>
      <c r="M21" s="146"/>
    </row>
    <row r="22" spans="1:13" ht="15.75" customHeight="1">
      <c r="A22" s="153" t="s">
        <v>5</v>
      </c>
      <c r="B22" s="154" t="s">
        <v>66</v>
      </c>
      <c r="C22" s="154" t="s">
        <v>73</v>
      </c>
      <c r="D22" s="155" t="s">
        <v>68</v>
      </c>
      <c r="E22" s="155"/>
      <c r="F22" s="155"/>
      <c r="G22" s="155"/>
      <c r="H22" s="155"/>
      <c r="I22" s="155"/>
      <c r="J22" s="31"/>
      <c r="K22" s="146"/>
      <c r="L22" s="146"/>
      <c r="M22" s="146"/>
    </row>
    <row r="23" spans="1:13" s="33" customFormat="1" ht="49.5" customHeight="1">
      <c r="A23" s="153"/>
      <c r="B23" s="154"/>
      <c r="C23" s="154"/>
      <c r="D23" s="32" t="s">
        <v>69</v>
      </c>
      <c r="E23" s="32" t="s">
        <v>70</v>
      </c>
      <c r="F23" s="50" t="s">
        <v>79</v>
      </c>
      <c r="G23" s="32" t="s">
        <v>80</v>
      </c>
      <c r="H23" s="32" t="s">
        <v>71</v>
      </c>
      <c r="I23" s="32" t="s">
        <v>72</v>
      </c>
      <c r="J23" s="31"/>
      <c r="K23" s="9" t="s">
        <v>56</v>
      </c>
      <c r="L23" s="9" t="s">
        <v>55</v>
      </c>
      <c r="M23" s="20" t="s">
        <v>54</v>
      </c>
    </row>
    <row r="24" spans="1:13" ht="15" customHeight="1">
      <c r="A24" s="34">
        <v>1</v>
      </c>
      <c r="B24" s="34" t="s">
        <v>33</v>
      </c>
      <c r="C24" s="40">
        <f>US!M8</f>
        <v>14085</v>
      </c>
      <c r="D24" s="38">
        <v>1400</v>
      </c>
      <c r="E24" s="38">
        <v>6493</v>
      </c>
      <c r="F24" s="38">
        <v>2799</v>
      </c>
      <c r="G24" s="38">
        <v>3272</v>
      </c>
      <c r="H24" s="38">
        <v>120</v>
      </c>
      <c r="I24" s="38">
        <v>1</v>
      </c>
      <c r="J24" s="31"/>
      <c r="K24" s="41">
        <f>G24+H24+I24</f>
        <v>3393</v>
      </c>
      <c r="L24" s="42">
        <f>US!O8</f>
        <v>3393</v>
      </c>
      <c r="M24" s="43">
        <f>K24-L24</f>
        <v>0</v>
      </c>
    </row>
    <row r="25" spans="1:13" ht="15" customHeight="1">
      <c r="A25" s="34">
        <v>2</v>
      </c>
      <c r="B25" s="34" t="s">
        <v>37</v>
      </c>
      <c r="C25" s="40">
        <f>US!M9</f>
        <v>59</v>
      </c>
      <c r="D25" s="38">
        <v>25</v>
      </c>
      <c r="E25" s="38">
        <v>16</v>
      </c>
      <c r="F25" s="38">
        <v>10</v>
      </c>
      <c r="G25" s="38">
        <v>7</v>
      </c>
      <c r="H25" s="38">
        <v>1</v>
      </c>
      <c r="I25" s="38"/>
      <c r="J25" s="31"/>
      <c r="K25" s="41">
        <f aca="true" t="shared" si="3" ref="K25:K37">G25+H25+I25</f>
        <v>8</v>
      </c>
      <c r="L25" s="42">
        <f>US!O9</f>
        <v>8</v>
      </c>
      <c r="M25" s="43">
        <f aca="true" t="shared" si="4" ref="M25:M37">K25-L25</f>
        <v>0</v>
      </c>
    </row>
    <row r="26" spans="1:13" ht="15" customHeight="1">
      <c r="A26" s="34">
        <v>3</v>
      </c>
      <c r="B26" s="34" t="s">
        <v>38</v>
      </c>
      <c r="C26" s="40">
        <f>US!M10</f>
        <v>384</v>
      </c>
      <c r="D26" s="38">
        <v>218</v>
      </c>
      <c r="E26" s="38">
        <v>101</v>
      </c>
      <c r="F26" s="38">
        <v>46</v>
      </c>
      <c r="G26" s="38">
        <v>18</v>
      </c>
      <c r="H26" s="38">
        <v>1</v>
      </c>
      <c r="I26" s="38"/>
      <c r="J26" s="31"/>
      <c r="K26" s="41">
        <f t="shared" si="3"/>
        <v>19</v>
      </c>
      <c r="L26" s="42">
        <f>US!O10</f>
        <v>19</v>
      </c>
      <c r="M26" s="43">
        <f t="shared" si="4"/>
        <v>0</v>
      </c>
    </row>
    <row r="27" spans="1:13" ht="15" customHeight="1">
      <c r="A27" s="34">
        <v>4</v>
      </c>
      <c r="B27" s="34" t="s">
        <v>39</v>
      </c>
      <c r="C27" s="40">
        <f>US!M11</f>
        <v>46</v>
      </c>
      <c r="D27" s="38">
        <v>46</v>
      </c>
      <c r="E27" s="38"/>
      <c r="F27" s="38"/>
      <c r="G27" s="38"/>
      <c r="H27" s="38"/>
      <c r="I27" s="38"/>
      <c r="J27" s="31"/>
      <c r="K27" s="41">
        <f t="shared" si="3"/>
        <v>0</v>
      </c>
      <c r="L27" s="42">
        <f>US!O11</f>
        <v>0</v>
      </c>
      <c r="M27" s="43">
        <f t="shared" si="4"/>
        <v>0</v>
      </c>
    </row>
    <row r="28" spans="1:13" ht="15" customHeight="1">
      <c r="A28" s="34">
        <v>5</v>
      </c>
      <c r="B28" s="34" t="s">
        <v>40</v>
      </c>
      <c r="C28" s="40">
        <f>US!M12</f>
        <v>162</v>
      </c>
      <c r="D28" s="38">
        <v>119</v>
      </c>
      <c r="E28" s="38">
        <v>31</v>
      </c>
      <c r="F28" s="38">
        <v>10</v>
      </c>
      <c r="G28" s="38">
        <v>2</v>
      </c>
      <c r="H28" s="38"/>
      <c r="I28" s="38"/>
      <c r="J28" s="31"/>
      <c r="K28" s="41">
        <f t="shared" si="3"/>
        <v>2</v>
      </c>
      <c r="L28" s="42">
        <f>US!O12</f>
        <v>2</v>
      </c>
      <c r="M28" s="43">
        <f t="shared" si="4"/>
        <v>0</v>
      </c>
    </row>
    <row r="29" spans="1:13" ht="15" customHeight="1">
      <c r="A29" s="34">
        <v>6</v>
      </c>
      <c r="B29" s="34" t="s">
        <v>41</v>
      </c>
      <c r="C29" s="40">
        <f>US!M13</f>
        <v>47</v>
      </c>
      <c r="D29" s="38">
        <v>15</v>
      </c>
      <c r="E29" s="38">
        <v>8</v>
      </c>
      <c r="F29" s="38">
        <v>11</v>
      </c>
      <c r="G29" s="38">
        <v>12</v>
      </c>
      <c r="H29" s="38">
        <v>1</v>
      </c>
      <c r="I29" s="38"/>
      <c r="J29" s="31"/>
      <c r="K29" s="41">
        <f t="shared" si="3"/>
        <v>13</v>
      </c>
      <c r="L29" s="42">
        <f>US!O13</f>
        <v>13</v>
      </c>
      <c r="M29" s="43">
        <f t="shared" si="4"/>
        <v>0</v>
      </c>
    </row>
    <row r="30" spans="1:13" ht="15" customHeight="1">
      <c r="A30" s="34">
        <v>7</v>
      </c>
      <c r="B30" s="34" t="s">
        <v>87</v>
      </c>
      <c r="C30" s="40">
        <f>US!M14</f>
        <v>122</v>
      </c>
      <c r="D30" s="38">
        <v>122</v>
      </c>
      <c r="E30" s="38"/>
      <c r="F30" s="38"/>
      <c r="G30" s="38"/>
      <c r="H30" s="38"/>
      <c r="I30" s="38"/>
      <c r="J30" s="31"/>
      <c r="K30" s="41">
        <f>G30+H30+I30</f>
        <v>0</v>
      </c>
      <c r="L30" s="42">
        <f>US!O14</f>
        <v>0</v>
      </c>
      <c r="M30" s="43">
        <f>K30-L30</f>
        <v>0</v>
      </c>
    </row>
    <row r="31" spans="1:13" ht="15" customHeight="1">
      <c r="A31" s="34">
        <v>8</v>
      </c>
      <c r="B31" s="34" t="s">
        <v>34</v>
      </c>
      <c r="C31" s="40">
        <f>US!M16</f>
        <v>0</v>
      </c>
      <c r="D31" s="38"/>
      <c r="E31" s="38"/>
      <c r="F31" s="38"/>
      <c r="G31" s="38"/>
      <c r="H31" s="38"/>
      <c r="I31" s="38"/>
      <c r="J31" s="31"/>
      <c r="K31" s="41">
        <f t="shared" si="3"/>
        <v>0</v>
      </c>
      <c r="L31" s="42">
        <f>US!O16</f>
        <v>0</v>
      </c>
      <c r="M31" s="43">
        <f t="shared" si="4"/>
        <v>0</v>
      </c>
    </row>
    <row r="32" spans="1:13" ht="15" customHeight="1">
      <c r="A32" s="34">
        <v>9</v>
      </c>
      <c r="B32" s="34" t="s">
        <v>35</v>
      </c>
      <c r="C32" s="40">
        <f>US!M17</f>
        <v>0</v>
      </c>
      <c r="D32" s="38"/>
      <c r="E32" s="38"/>
      <c r="F32" s="38"/>
      <c r="G32" s="38"/>
      <c r="H32" s="38"/>
      <c r="I32" s="38"/>
      <c r="J32" s="31"/>
      <c r="K32" s="41">
        <f t="shared" si="3"/>
        <v>0</v>
      </c>
      <c r="L32" s="42">
        <f>US!O17</f>
        <v>0</v>
      </c>
      <c r="M32" s="43">
        <f t="shared" si="4"/>
        <v>0</v>
      </c>
    </row>
    <row r="33" spans="1:13" ht="15" customHeight="1">
      <c r="A33" s="34">
        <v>10</v>
      </c>
      <c r="B33" s="34" t="s">
        <v>36</v>
      </c>
      <c r="C33" s="40">
        <f>US!M18</f>
        <v>2</v>
      </c>
      <c r="D33" s="38">
        <v>2</v>
      </c>
      <c r="E33" s="38"/>
      <c r="F33" s="38"/>
      <c r="G33" s="38"/>
      <c r="H33" s="38"/>
      <c r="I33" s="38"/>
      <c r="J33" s="31"/>
      <c r="K33" s="41">
        <f t="shared" si="3"/>
        <v>0</v>
      </c>
      <c r="L33" s="42">
        <f>US!O18</f>
        <v>0</v>
      </c>
      <c r="M33" s="43">
        <f t="shared" si="4"/>
        <v>0</v>
      </c>
    </row>
    <row r="34" spans="1:13" ht="15" customHeight="1">
      <c r="A34" s="34">
        <v>11</v>
      </c>
      <c r="B34" s="34" t="s">
        <v>57</v>
      </c>
      <c r="C34" s="40">
        <f>US!M19</f>
        <v>1</v>
      </c>
      <c r="D34" s="38">
        <v>1</v>
      </c>
      <c r="E34" s="38"/>
      <c r="F34" s="38"/>
      <c r="G34" s="38"/>
      <c r="H34" s="38"/>
      <c r="I34" s="38"/>
      <c r="J34" s="31"/>
      <c r="K34" s="41">
        <f t="shared" si="3"/>
        <v>0</v>
      </c>
      <c r="L34" s="42">
        <f>US!O19</f>
        <v>0</v>
      </c>
      <c r="M34" s="43">
        <f t="shared" si="4"/>
        <v>0</v>
      </c>
    </row>
    <row r="35" spans="1:13" ht="15" customHeight="1">
      <c r="A35" s="34">
        <v>12</v>
      </c>
      <c r="B35" s="34" t="s">
        <v>58</v>
      </c>
      <c r="C35" s="40">
        <f>US!M20</f>
        <v>2</v>
      </c>
      <c r="D35" s="38">
        <v>2</v>
      </c>
      <c r="E35" s="38"/>
      <c r="F35" s="38"/>
      <c r="G35" s="38"/>
      <c r="H35" s="38"/>
      <c r="I35" s="38"/>
      <c r="J35" s="31"/>
      <c r="K35" s="41">
        <f t="shared" si="3"/>
        <v>0</v>
      </c>
      <c r="L35" s="42">
        <f>US!O20</f>
        <v>0</v>
      </c>
      <c r="M35" s="43">
        <f t="shared" si="4"/>
        <v>0</v>
      </c>
    </row>
    <row r="36" spans="1:13" ht="15" customHeight="1">
      <c r="A36" s="34">
        <v>13</v>
      </c>
      <c r="B36" s="34" t="s">
        <v>59</v>
      </c>
      <c r="C36" s="40">
        <f>US!M22</f>
        <v>263</v>
      </c>
      <c r="D36" s="38">
        <v>263</v>
      </c>
      <c r="E36" s="38"/>
      <c r="F36" s="38"/>
      <c r="G36" s="38"/>
      <c r="H36" s="38"/>
      <c r="I36" s="38"/>
      <c r="J36" s="31"/>
      <c r="K36" s="41">
        <f t="shared" si="3"/>
        <v>0</v>
      </c>
      <c r="L36" s="42">
        <f>US!O22</f>
        <v>0</v>
      </c>
      <c r="M36" s="43">
        <f t="shared" si="4"/>
        <v>0</v>
      </c>
    </row>
    <row r="37" spans="1:13" ht="15" customHeight="1">
      <c r="A37" s="148" t="s">
        <v>91</v>
      </c>
      <c r="B37" s="148"/>
      <c r="C37" s="39">
        <f aca="true" t="shared" si="5" ref="C37:I37">SUM(C24:C36)</f>
        <v>15173</v>
      </c>
      <c r="D37" s="39">
        <f t="shared" si="5"/>
        <v>2213</v>
      </c>
      <c r="E37" s="39">
        <f t="shared" si="5"/>
        <v>6649</v>
      </c>
      <c r="F37" s="39">
        <f t="shared" si="5"/>
        <v>2876</v>
      </c>
      <c r="G37" s="39">
        <f t="shared" si="5"/>
        <v>3311</v>
      </c>
      <c r="H37" s="39">
        <f t="shared" si="5"/>
        <v>123</v>
      </c>
      <c r="I37" s="39">
        <f t="shared" si="5"/>
        <v>1</v>
      </c>
      <c r="J37" s="31"/>
      <c r="K37" s="44">
        <f t="shared" si="3"/>
        <v>3435</v>
      </c>
      <c r="L37" s="45">
        <f>SUM(L24:L36)</f>
        <v>3435</v>
      </c>
      <c r="M37" s="46">
        <f t="shared" si="4"/>
        <v>0</v>
      </c>
    </row>
    <row r="38" ht="12.75" customHeight="1"/>
    <row r="39" spans="4:6" ht="15.75" thickBot="1">
      <c r="D39" s="35" t="s">
        <v>61</v>
      </c>
      <c r="E39" s="35"/>
      <c r="F39" s="35"/>
    </row>
    <row r="40" spans="3:10" ht="15.75" thickBot="1">
      <c r="C40" s="35" t="s">
        <v>74</v>
      </c>
      <c r="D40" s="149" t="str">
        <f>US!AJ26</f>
        <v>судија Радојка Маринковић</v>
      </c>
      <c r="E40" s="150"/>
      <c r="F40" s="150"/>
      <c r="G40" s="150"/>
      <c r="H40" s="151"/>
      <c r="I40" s="36"/>
      <c r="J40" s="36"/>
    </row>
    <row r="43" spans="4:6" ht="14.25">
      <c r="D43" s="37" t="s">
        <v>75</v>
      </c>
      <c r="E43" s="37"/>
      <c r="F43" s="37"/>
    </row>
  </sheetData>
  <sheetProtection/>
  <mergeCells count="17">
    <mergeCell ref="A1:C1"/>
    <mergeCell ref="D1:H1"/>
    <mergeCell ref="A4:A5"/>
    <mergeCell ref="B4:B5"/>
    <mergeCell ref="C4:C5"/>
    <mergeCell ref="D4:I4"/>
    <mergeCell ref="A3:I3"/>
    <mergeCell ref="K3:M4"/>
    <mergeCell ref="K21:M22"/>
    <mergeCell ref="A37:B37"/>
    <mergeCell ref="D40:H40"/>
    <mergeCell ref="A19:B19"/>
    <mergeCell ref="B21:I21"/>
    <mergeCell ref="A22:A23"/>
    <mergeCell ref="B22:B23"/>
    <mergeCell ref="C22:C23"/>
    <mergeCell ref="D22:I22"/>
  </mergeCells>
  <conditionalFormatting sqref="C6:C19 C24:C37">
    <cfRule type="expression" priority="3" dxfId="2" stopIfTrue="1">
      <formula>(SUM($D6:$I6))&lt;&gt;$C6</formula>
    </cfRule>
  </conditionalFormatting>
  <conditionalFormatting sqref="M6:M19 M24:M37">
    <cfRule type="expression" priority="4" dxfId="1" stopIfTrue="1">
      <formula>(0&gt;$M6)</formula>
    </cfRule>
    <cfRule type="expression" priority="5" dxfId="0" stopIfTrue="1">
      <formula>(0&lt;$M6)</formula>
    </cfRule>
  </conditionalFormatting>
  <dataValidations count="1">
    <dataValidation type="whole" allowBlank="1" showInputMessage="1" showErrorMessage="1" errorTitle="Погрешан унос." error="Можете унети само цео број, нулу или оставити празно." sqref="D6:J18 D24:J36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2015-06-18T06:49:22Z</dcterms:created>
  <dcterms:modified xsi:type="dcterms:W3CDTF">2023-07-06T09:44:42Z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2022-12-13T12:03:24Z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e0567d24-8b76-495c-a521-f6a6df2b58f9</vt:lpwstr>
  </property>
  <property fmtid="{D5CDD505-2E9C-101B-9397-08002B2CF9AE}" pid="10" name="MSIP_Label_e463cba9-5f6c-478d-9329-7b2295e4e8ed_ContentBits">
    <vt:lpwstr>0</vt:lpwstr>
  </property>
</Properties>
</file>